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ingabeblatt" sheetId="4" r:id="rId1"/>
    <sheet name="Gastgewerbepauschale" sheetId="1" r:id="rId2"/>
    <sheet name="Betriebsausgabenpauschale" sheetId="2" r:id="rId3"/>
    <sheet name="E-A-R" sheetId="3" r:id="rId4"/>
    <sheet name="Vergleich" sheetId="5" r:id="rId5"/>
  </sheets>
  <calcPr calcId="145621"/>
</workbook>
</file>

<file path=xl/calcChain.xml><?xml version="1.0" encoding="utf-8"?>
<calcChain xmlns="http://schemas.openxmlformats.org/spreadsheetml/2006/main">
  <c r="B14" i="4" l="1"/>
  <c r="E7" i="5" l="1"/>
  <c r="D7" i="5"/>
  <c r="D22" i="5" s="1"/>
  <c r="C7" i="5"/>
  <c r="C22" i="5" s="1"/>
  <c r="C19" i="3"/>
  <c r="C20" i="3"/>
  <c r="C18" i="3"/>
  <c r="C8" i="3"/>
  <c r="C10" i="3"/>
  <c r="C11" i="3"/>
  <c r="C12" i="3"/>
  <c r="C13" i="3"/>
  <c r="C14" i="3"/>
  <c r="C15" i="3"/>
  <c r="C16" i="3"/>
  <c r="C17" i="3"/>
  <c r="C7" i="3"/>
  <c r="C4" i="3"/>
  <c r="C8" i="2"/>
  <c r="C10" i="2"/>
  <c r="C16" i="2"/>
  <c r="C7" i="2"/>
  <c r="C4" i="2"/>
  <c r="C29" i="1"/>
  <c r="C24" i="1"/>
  <c r="C22" i="1"/>
  <c r="C8" i="1"/>
  <c r="C10" i="1"/>
  <c r="C11" i="1"/>
  <c r="C12" i="1"/>
  <c r="C13" i="1"/>
  <c r="C14" i="1"/>
  <c r="C15" i="1"/>
  <c r="C16" i="1"/>
  <c r="C17" i="1"/>
  <c r="C7" i="1"/>
  <c r="C4" i="1"/>
  <c r="B5" i="1" s="1"/>
  <c r="C21" i="2" l="1"/>
  <c r="B5" i="2"/>
  <c r="C21" i="1"/>
  <c r="C25" i="1" s="1"/>
  <c r="C9" i="3"/>
  <c r="C23" i="3" s="1"/>
  <c r="C27" i="1"/>
  <c r="C30" i="1" s="1"/>
  <c r="C19" i="1"/>
  <c r="C24" i="3" l="1"/>
  <c r="C25" i="3" s="1"/>
  <c r="E9" i="5"/>
  <c r="E10" i="5" s="1"/>
  <c r="E19" i="5" s="1"/>
  <c r="C9" i="2"/>
  <c r="C24" i="2" s="1"/>
  <c r="C9" i="1"/>
  <c r="C31" i="1" l="1"/>
  <c r="C9" i="5" s="1"/>
  <c r="C10" i="5" s="1"/>
  <c r="C19" i="5" s="1"/>
  <c r="E11" i="5"/>
  <c r="E12" i="5" s="1"/>
  <c r="C25" i="2"/>
  <c r="C26" i="2" s="1"/>
  <c r="D9" i="5"/>
  <c r="D10" i="5" s="1"/>
  <c r="D19" i="5" s="1"/>
  <c r="E15" i="5" l="1"/>
  <c r="E14" i="5"/>
  <c r="E13" i="5"/>
  <c r="E17" i="5" s="1"/>
  <c r="E21" i="5" s="1"/>
  <c r="C27" i="2"/>
  <c r="C29" i="2" s="1"/>
  <c r="C32" i="1"/>
  <c r="C11" i="5"/>
  <c r="C12" i="5" s="1"/>
  <c r="D11" i="5"/>
  <c r="D12" i="5" s="1"/>
  <c r="D15" i="5" l="1"/>
  <c r="D13" i="5"/>
  <c r="D14" i="5"/>
  <c r="C14" i="5"/>
  <c r="C15" i="5"/>
  <c r="C13" i="5"/>
  <c r="C33" i="1"/>
  <c r="C34" i="1" s="1"/>
  <c r="C36" i="1" s="1"/>
  <c r="C26" i="3"/>
  <c r="C28" i="3" s="1"/>
  <c r="C17" i="5" l="1"/>
  <c r="C21" i="5" s="1"/>
  <c r="D17" i="5"/>
  <c r="D21" i="5" s="1"/>
</calcChain>
</file>

<file path=xl/sharedStrings.xml><?xml version="1.0" encoding="utf-8"?>
<sst xmlns="http://schemas.openxmlformats.org/spreadsheetml/2006/main" count="202" uniqueCount="74">
  <si>
    <t>Umsatz (netto)</t>
  </si>
  <si>
    <t>-</t>
  </si>
  <si>
    <t>Lohnnebenkosten (KommSt, DG-Anteil, GKK, DZ, DB)</t>
  </si>
  <si>
    <t>Fremdlöhne (netto)</t>
  </si>
  <si>
    <t>Fortbildungskosten für Mitarbeiter</t>
  </si>
  <si>
    <t>AfA</t>
  </si>
  <si>
    <t>Instandsetzung und Instandhaltung</t>
  </si>
  <si>
    <t>Miete und Pacht von Immobilien</t>
  </si>
  <si>
    <t>Kreditzinsen (Fremdmittelkosten)</t>
  </si>
  <si>
    <t>Gewerbliche Sozialversicherungsbeiträge</t>
  </si>
  <si>
    <t>Bildungsfreibetrag</t>
  </si>
  <si>
    <t>10% Basispauschale</t>
  </si>
  <si>
    <t>oder</t>
  </si>
  <si>
    <t>Tatsächlicher Fahrt- und Reiseaufwand</t>
  </si>
  <si>
    <t>8% Energie- und Raumpauschale</t>
  </si>
  <si>
    <t>=</t>
  </si>
  <si>
    <t>Zwischensumme</t>
  </si>
  <si>
    <t>Steuerpflichtiger Gewinn/Verlust</t>
  </si>
  <si>
    <t>Personalaufwand (Summe Jahresbruttolöhne)</t>
  </si>
  <si>
    <t>EINNAHMEN</t>
  </si>
  <si>
    <t>AUSGABEN</t>
  </si>
  <si>
    <t>GASTGEWERBEPAUSCHALIERUNG</t>
  </si>
  <si>
    <t>Waren Rohstoffe, Halberzeugnisse, Hilfsstoffe, Zutaten (netto)</t>
  </si>
  <si>
    <t>12% Betriebsausgabenpauschale</t>
  </si>
  <si>
    <t>6% Betriebsausgabenpauschale</t>
  </si>
  <si>
    <t>(übrige)</t>
  </si>
  <si>
    <t>Summe Ausgaben</t>
  </si>
  <si>
    <t>13% Grund-Gewinnfreibetrag (von max. 30.000)</t>
  </si>
  <si>
    <t>Einkommensteuer</t>
  </si>
  <si>
    <t>Größerer Wert Energie- und Raum</t>
  </si>
  <si>
    <t>Größerer Wert Fahrt- und Reise</t>
  </si>
  <si>
    <t>VOLLE EINNAHMEN-AUSGABEN-RECHNUNG</t>
  </si>
  <si>
    <t>Fahrt- und Reiseaufwand</t>
  </si>
  <si>
    <t>Energieaufwand, Raumaufwand soweit noch nicht erfasst</t>
  </si>
  <si>
    <t>Alle weiteren Ausgaben (Versicherungen, Werbung, Büromaterial, Bewirtung, Verwaltungskosten, Beratung, etc.)</t>
  </si>
  <si>
    <t>Tatsächlicher Energie- und Raumaufwand (Reinigung, etc.)</t>
  </si>
  <si>
    <t>BETRIEBSAUSGABENPAUSCHALIERUNG (§17 Abs2 EStG)</t>
  </si>
  <si>
    <t>Summe aller Einnahmen (netto)</t>
  </si>
  <si>
    <t>AfA (laufende Abschreibungen)</t>
  </si>
  <si>
    <t>Summe aller weiteren Ausgaben (Versicherungen, Werbung, Büromaterial, Bewirtung, Verwaltungskosten, Beratung, etc.)</t>
  </si>
  <si>
    <t>Energieaufwand (Strom, Gas, Öl, Wasser, etc.)</t>
  </si>
  <si>
    <t>Raumaufwand (exkl. Miete, AfA und Instandsetzung; inkl. Reinigung, Abgaben, Gebäudeversicherungen, etc.)</t>
  </si>
  <si>
    <t>Pendlerpauschale (fiktiv)*</t>
  </si>
  <si>
    <t>*siehe dazu www.siart.at --&gt; Steuerinfo --&gt; Autos &amp; Reisen</t>
  </si>
  <si>
    <t>2. Auf den weiteren Blättern sehen Sie dann die steuerlichen Ergebnisse bei den einzelnen Gewinnermittlungsarten automatisch berechnet</t>
  </si>
  <si>
    <t>ANLEITUNG:</t>
  </si>
  <si>
    <t>/</t>
  </si>
  <si>
    <t>Pendlerpauschale</t>
  </si>
  <si>
    <t>2% Mobilitätspauschale (gedeckelt mit Pendlerpauschale)</t>
  </si>
  <si>
    <t>3. Auf dem Blatt "Vergleich" sehen Sie die Ergebnisse gegenüber gestellt</t>
  </si>
  <si>
    <t>GASTGEWERBE-PAUSCHALIERUNG</t>
  </si>
  <si>
    <t>BETRIEBSAUSGABEN-PAUSCHALIERUNG (§17 Abs2 EStG)</t>
  </si>
  <si>
    <t>Einnahmen</t>
  </si>
  <si>
    <t>Summe steuerliche Ausgaben</t>
  </si>
  <si>
    <t>In diesem Jahr in etwa anfallende GSVG-Sozialversicherung*</t>
  </si>
  <si>
    <t>TATSÄCHLICHE BELASTUNG an EINKOMMENSTEUER und GSVG</t>
  </si>
  <si>
    <t>1. Geben Sie hier in den gelben Feldern Ihre Daten ein! Mehr ist nicht notwendig.</t>
  </si>
  <si>
    <t xml:space="preserve">(c) </t>
  </si>
  <si>
    <t xml:space="preserve">www.siart.at </t>
  </si>
  <si>
    <t>01/ 493 13 99</t>
  </si>
  <si>
    <t>Siart+Team Treuhand GmbH</t>
  </si>
  <si>
    <t>Günstigkeitsvergleich</t>
  </si>
  <si>
    <t>Gastronomie</t>
  </si>
  <si>
    <t>SIE HABEN EINE FRAGE DAZU?</t>
  </si>
  <si>
    <t>RUFEN SIE UNS AN - UNSERE ERSTBERATUNG IST KOSTENLOS!</t>
  </si>
  <si>
    <t>13% Grund-Gewinnfreibetrag</t>
  </si>
  <si>
    <t>*Bei den steuerlichen Ausgaben werden hier die geleisteten GSVG-Vorauszahlungen wieder</t>
  </si>
  <si>
    <t xml:space="preserve">Der GSVG Beitragssatz für Kranken+Pensionsversicherung beträgt </t>
  </si>
  <si>
    <t>26,15% zzgl. 101,76 Euro Unfallversicherung pro Jahr.</t>
  </si>
  <si>
    <t>hinzu gerechnet. Der Grund-Gewinnfreibetrag wird angewendet.</t>
  </si>
  <si>
    <t>Stand: 1.1.2016, Haftung ausgeschlossen.</t>
  </si>
  <si>
    <t>Nebenrechnung1 (Stufen 0,1,2)</t>
  </si>
  <si>
    <t>Nebenrechnung2 (Stufen 3,4)</t>
  </si>
  <si>
    <t>Nebenrechnung3 (Stufen 5,6)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</si>
</sst>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0"/>
      <color theme="10"/>
      <name val="Arial"/>
      <family val="2"/>
    </font>
    <font>
      <b/>
      <i/>
      <sz val="11"/>
      <color rgb="FFFF0000"/>
      <name val="Calibri"/>
      <family val="2"/>
      <scheme val="minor"/>
    </font>
    <font>
      <sz val="10"/>
      <color theme="0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5" fillId="3" borderId="11" xfId="0" applyFont="1" applyFill="1" applyBorder="1" applyAlignment="1">
      <alignment wrapText="1"/>
    </xf>
    <xf numFmtId="3" fontId="5" fillId="3" borderId="11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0" fontId="0" fillId="3" borderId="0" xfId="0" applyFill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3" fontId="0" fillId="3" borderId="0" xfId="0" applyNumberForma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3" fontId="0" fillId="3" borderId="2" xfId="0" applyNumberForma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3" fontId="0" fillId="3" borderId="1" xfId="0" applyNumberForma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3" fontId="0" fillId="3" borderId="6" xfId="0" applyNumberForma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3" fontId="0" fillId="3" borderId="4" xfId="0" applyNumberFormat="1" applyFill="1" applyBorder="1" applyAlignment="1">
      <alignment vertical="top" wrapText="1"/>
    </xf>
    <xf numFmtId="3" fontId="3" fillId="3" borderId="0" xfId="0" applyNumberFormat="1" applyFont="1" applyFill="1" applyAlignment="1">
      <alignment vertical="top" wrapText="1"/>
    </xf>
    <xf numFmtId="164" fontId="3" fillId="3" borderId="0" xfId="0" applyNumberFormat="1" applyFont="1" applyFill="1" applyAlignment="1">
      <alignment vertical="top" wrapText="1"/>
    </xf>
    <xf numFmtId="0" fontId="0" fillId="3" borderId="0" xfId="0" applyFill="1"/>
    <xf numFmtId="0" fontId="8" fillId="3" borderId="0" xfId="1" applyFill="1"/>
    <xf numFmtId="3" fontId="0" fillId="3" borderId="0" xfId="0" applyNumberFormat="1" applyFill="1" applyAlignment="1">
      <alignment horizontal="right" vertical="top" wrapText="1"/>
    </xf>
    <xf numFmtId="0" fontId="4" fillId="3" borderId="0" xfId="0" applyFont="1" applyFill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3" fontId="0" fillId="3" borderId="7" xfId="0" applyNumberFormat="1" applyFill="1" applyBorder="1" applyAlignment="1">
      <alignment vertical="top" wrapText="1"/>
    </xf>
    <xf numFmtId="0" fontId="0" fillId="3" borderId="0" xfId="0" applyFill="1" applyBorder="1" applyAlignment="1">
      <alignment horizontal="right" vertical="top" wrapText="1"/>
    </xf>
    <xf numFmtId="0" fontId="2" fillId="3" borderId="3" xfId="0" applyFont="1" applyFill="1" applyBorder="1" applyAlignment="1">
      <alignment vertical="top" wrapText="1"/>
    </xf>
    <xf numFmtId="3" fontId="0" fillId="3" borderId="3" xfId="0" applyNumberForma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3" fontId="0" fillId="3" borderId="9" xfId="0" applyNumberFormat="1" applyFill="1" applyBorder="1"/>
    <xf numFmtId="0" fontId="0" fillId="3" borderId="9" xfId="0" applyFill="1" applyBorder="1"/>
    <xf numFmtId="3" fontId="0" fillId="3" borderId="8" xfId="0" applyNumberForma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6" fillId="3" borderId="9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0" fillId="3" borderId="15" xfId="0" applyFill="1" applyBorder="1"/>
    <xf numFmtId="0" fontId="0" fillId="3" borderId="14" xfId="0" applyFill="1" applyBorder="1"/>
    <xf numFmtId="0" fontId="0" fillId="3" borderId="16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3" fillId="3" borderId="16" xfId="0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0" fontId="6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0" fontId="0" fillId="3" borderId="19" xfId="0" applyFill="1" applyBorder="1" applyAlignment="1">
      <alignment wrapText="1"/>
    </xf>
    <xf numFmtId="0" fontId="3" fillId="3" borderId="0" xfId="0" applyFont="1" applyFill="1"/>
    <xf numFmtId="0" fontId="0" fillId="3" borderId="0" xfId="0" applyFont="1" applyFill="1" applyAlignment="1">
      <alignment wrapText="1"/>
    </xf>
    <xf numFmtId="0" fontId="0" fillId="3" borderId="5" xfId="0" applyFill="1" applyBorder="1"/>
    <xf numFmtId="0" fontId="0" fillId="3" borderId="0" xfId="0" applyFont="1" applyFill="1"/>
    <xf numFmtId="0" fontId="0" fillId="3" borderId="5" xfId="0" applyFill="1" applyBorder="1" applyAlignment="1">
      <alignment vertical="top" wrapText="1"/>
    </xf>
    <xf numFmtId="3" fontId="0" fillId="2" borderId="5" xfId="0" applyNumberFormat="1" applyFont="1" applyFill="1" applyBorder="1" applyAlignment="1" applyProtection="1">
      <alignment vertical="top" wrapText="1"/>
      <protection locked="0"/>
    </xf>
    <xf numFmtId="3" fontId="0" fillId="2" borderId="5" xfId="0" applyNumberFormat="1" applyFont="1" applyFill="1" applyBorder="1" applyAlignment="1" applyProtection="1">
      <alignment wrapText="1"/>
      <protection locked="0"/>
    </xf>
    <xf numFmtId="0" fontId="9" fillId="3" borderId="0" xfId="0" applyFont="1" applyFill="1" applyAlignment="1">
      <alignment vertical="top"/>
    </xf>
    <xf numFmtId="0" fontId="9" fillId="3" borderId="0" xfId="0" applyFont="1" applyFill="1"/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wrapText="1"/>
    </xf>
    <xf numFmtId="0" fontId="10" fillId="0" borderId="0" xfId="0" applyFont="1"/>
    <xf numFmtId="4" fontId="10" fillId="0" borderId="20" xfId="0" applyNumberFormat="1" applyFont="1" applyBorder="1"/>
    <xf numFmtId="4" fontId="10" fillId="0" borderId="9" xfId="0" applyNumberFormat="1" applyFont="1" applyBorder="1"/>
    <xf numFmtId="0" fontId="10" fillId="0" borderId="9" xfId="0" applyFont="1" applyBorder="1"/>
  </cellXfs>
  <cellStyles count="2">
    <cellStyle name="Hyperlink" xfId="1" builtinId="8"/>
    <cellStyle name="Standard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361949</xdr:colOff>
      <xdr:row>0</xdr:row>
      <xdr:rowOff>47625</xdr:rowOff>
    </xdr:from>
    <xdr:to>
      <xdr:col>3</xdr:col>
      <xdr:colOff>723900</xdr:colOff>
      <xdr:row>3</xdr:row>
      <xdr:rowOff>152400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50" t="10656" r="12733" b="13684"/>
        <a:stretch/>
      </xdr:blipFill>
      <xdr:spPr>
        <a:xfrm>
          <a:off x="4467224" y="47625"/>
          <a:ext cx="1123951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76200</xdr:rowOff>
    </xdr:from>
    <xdr:to>
      <xdr:col>4</xdr:col>
      <xdr:colOff>495301</xdr:colOff>
      <xdr:row>3</xdr:row>
      <xdr:rowOff>180975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50" t="10656" r="12733" b="13684"/>
        <a:stretch/>
      </xdr:blipFill>
      <xdr:spPr>
        <a:xfrm>
          <a:off x="4533900" y="76200"/>
          <a:ext cx="1123951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76200</xdr:rowOff>
    </xdr:from>
    <xdr:to>
      <xdr:col>4</xdr:col>
      <xdr:colOff>695326</xdr:colOff>
      <xdr:row>2</xdr:row>
      <xdr:rowOff>180975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50" t="10656" r="12733" b="13684"/>
        <a:stretch/>
      </xdr:blipFill>
      <xdr:spPr>
        <a:xfrm>
          <a:off x="4371975" y="76200"/>
          <a:ext cx="1123951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85725</xdr:rowOff>
    </xdr:from>
    <xdr:to>
      <xdr:col>4</xdr:col>
      <xdr:colOff>523876</xdr:colOff>
      <xdr:row>4</xdr:row>
      <xdr:rowOff>0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50" t="10656" r="12733" b="13684"/>
        <a:stretch/>
      </xdr:blipFill>
      <xdr:spPr>
        <a:xfrm>
          <a:off x="4524375" y="85725"/>
          <a:ext cx="1123951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0</xdr:row>
      <xdr:rowOff>57150</xdr:rowOff>
    </xdr:from>
    <xdr:to>
      <xdr:col>3</xdr:col>
      <xdr:colOff>323851</xdr:colOff>
      <xdr:row>3</xdr:row>
      <xdr:rowOff>161925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50" t="10656" r="12733" b="13684"/>
        <a:stretch/>
      </xdr:blipFill>
      <xdr:spPr>
        <a:xfrm>
          <a:off x="2352675" y="57150"/>
          <a:ext cx="1123951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art.a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iart.a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iart.a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iart.a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iart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0"/>
  <sheetViews>
    <sheetView tabSelected="1" zoomScaleNormal="100" workbookViewId="0">
      <selection activeCell="C13" sqref="C13"/>
    </sheetView>
  </sheetViews>
  <sheetFormatPr baseColWidth="10" defaultRowHeight="15" x14ac:dyDescent="0.25"/>
  <cols>
    <col min="1" max="1" width="11.42578125" style="22"/>
    <col min="2" max="2" width="50.140625" style="22" customWidth="1"/>
    <col min="3" max="16384" width="11.42578125" style="22"/>
  </cols>
  <sheetData>
    <row r="3" spans="2:3" x14ac:dyDescent="0.25">
      <c r="B3" s="52" t="s">
        <v>61</v>
      </c>
    </row>
    <row r="4" spans="2:3" x14ac:dyDescent="0.25">
      <c r="B4" s="52" t="s">
        <v>62</v>
      </c>
    </row>
    <row r="6" spans="2:3" x14ac:dyDescent="0.25">
      <c r="B6" s="52" t="s">
        <v>45</v>
      </c>
    </row>
    <row r="7" spans="2:3" ht="30" x14ac:dyDescent="0.25">
      <c r="B7" s="53" t="s">
        <v>56</v>
      </c>
    </row>
    <row r="8" spans="2:3" x14ac:dyDescent="0.25">
      <c r="B8" s="53"/>
    </row>
    <row r="9" spans="2:3" ht="45" x14ac:dyDescent="0.25">
      <c r="B9" s="53" t="s">
        <v>44</v>
      </c>
    </row>
    <row r="10" spans="2:3" ht="30" x14ac:dyDescent="0.25">
      <c r="B10" s="53" t="s">
        <v>49</v>
      </c>
    </row>
    <row r="11" spans="2:3" x14ac:dyDescent="0.25">
      <c r="B11" s="53"/>
    </row>
    <row r="12" spans="2:3" x14ac:dyDescent="0.25">
      <c r="B12" s="52" t="s">
        <v>19</v>
      </c>
    </row>
    <row r="13" spans="2:3" x14ac:dyDescent="0.25">
      <c r="B13" s="54" t="s">
        <v>37</v>
      </c>
      <c r="C13" s="57">
        <v>220000</v>
      </c>
    </row>
    <row r="14" spans="2:3" x14ac:dyDescent="0.25">
      <c r="B14" s="60" t="str">
        <f>IF(C13&gt;255000,"! Achtung die Einnahmen sind &gt;255.000 Euro, die Gastropauschalierung ist nicht möglich","")</f>
        <v/>
      </c>
      <c r="C14" s="55"/>
    </row>
    <row r="15" spans="2:3" x14ac:dyDescent="0.25">
      <c r="B15" s="52" t="s">
        <v>20</v>
      </c>
      <c r="C15" s="55"/>
    </row>
    <row r="16" spans="2:3" ht="30" x14ac:dyDescent="0.25">
      <c r="B16" s="56" t="s">
        <v>22</v>
      </c>
      <c r="C16" s="57">
        <v>55000</v>
      </c>
    </row>
    <row r="17" spans="2:3" x14ac:dyDescent="0.25">
      <c r="B17" s="56" t="s">
        <v>18</v>
      </c>
      <c r="C17" s="57">
        <v>50000</v>
      </c>
    </row>
    <row r="18" spans="2:3" x14ac:dyDescent="0.25">
      <c r="B18" s="56" t="s">
        <v>2</v>
      </c>
      <c r="C18" s="57">
        <v>20000</v>
      </c>
    </row>
    <row r="19" spans="2:3" x14ac:dyDescent="0.25">
      <c r="B19" s="56" t="s">
        <v>3</v>
      </c>
      <c r="C19" s="57">
        <v>500</v>
      </c>
    </row>
    <row r="20" spans="2:3" x14ac:dyDescent="0.25">
      <c r="B20" s="56" t="s">
        <v>4</v>
      </c>
      <c r="C20" s="57">
        <v>1000</v>
      </c>
    </row>
    <row r="21" spans="2:3" x14ac:dyDescent="0.25">
      <c r="B21" s="56" t="s">
        <v>38</v>
      </c>
      <c r="C21" s="57">
        <v>6000</v>
      </c>
    </row>
    <row r="22" spans="2:3" x14ac:dyDescent="0.25">
      <c r="B22" s="56" t="s">
        <v>6</v>
      </c>
      <c r="C22" s="57">
        <v>2000</v>
      </c>
    </row>
    <row r="23" spans="2:3" x14ac:dyDescent="0.25">
      <c r="B23" s="56" t="s">
        <v>7</v>
      </c>
      <c r="C23" s="57">
        <v>24000</v>
      </c>
    </row>
    <row r="24" spans="2:3" x14ac:dyDescent="0.25">
      <c r="B24" s="56" t="s">
        <v>8</v>
      </c>
      <c r="C24" s="57">
        <v>2000</v>
      </c>
    </row>
    <row r="25" spans="2:3" x14ac:dyDescent="0.25">
      <c r="B25" s="56" t="s">
        <v>9</v>
      </c>
      <c r="C25" s="57">
        <v>3000</v>
      </c>
    </row>
    <row r="26" spans="2:3" x14ac:dyDescent="0.25">
      <c r="B26" s="56" t="s">
        <v>10</v>
      </c>
      <c r="C26" s="57">
        <v>0</v>
      </c>
    </row>
    <row r="27" spans="2:3" x14ac:dyDescent="0.25">
      <c r="B27" s="56" t="s">
        <v>32</v>
      </c>
      <c r="C27" s="57">
        <v>5000</v>
      </c>
    </row>
    <row r="28" spans="2:3" x14ac:dyDescent="0.25">
      <c r="B28" s="56" t="s">
        <v>42</v>
      </c>
      <c r="C28" s="58">
        <v>0</v>
      </c>
    </row>
    <row r="29" spans="2:3" x14ac:dyDescent="0.25">
      <c r="B29" s="56" t="s">
        <v>40</v>
      </c>
      <c r="C29" s="58">
        <v>8000</v>
      </c>
    </row>
    <row r="30" spans="2:3" ht="45" x14ac:dyDescent="0.25">
      <c r="B30" s="56" t="s">
        <v>41</v>
      </c>
      <c r="C30" s="58">
        <v>2000</v>
      </c>
    </row>
    <row r="31" spans="2:3" ht="45" x14ac:dyDescent="0.25">
      <c r="B31" s="56" t="s">
        <v>39</v>
      </c>
      <c r="C31" s="58">
        <v>9000</v>
      </c>
    </row>
    <row r="33" spans="2:2" ht="30" x14ac:dyDescent="0.25">
      <c r="B33" s="11" t="s">
        <v>43</v>
      </c>
    </row>
    <row r="36" spans="2:2" x14ac:dyDescent="0.25">
      <c r="B36" s="22" t="s">
        <v>57</v>
      </c>
    </row>
    <row r="37" spans="2:2" x14ac:dyDescent="0.25">
      <c r="B37" s="22" t="s">
        <v>60</v>
      </c>
    </row>
    <row r="38" spans="2:2" x14ac:dyDescent="0.25">
      <c r="B38" s="23" t="s">
        <v>58</v>
      </c>
    </row>
    <row r="39" spans="2:2" x14ac:dyDescent="0.25">
      <c r="B39" s="22" t="s">
        <v>59</v>
      </c>
    </row>
    <row r="40" spans="2:2" x14ac:dyDescent="0.25">
      <c r="B40" s="22" t="s">
        <v>70</v>
      </c>
    </row>
  </sheetData>
  <sheetProtection password="DE5F" sheet="1" objects="1" scenarios="1" selectLockedCells="1"/>
  <hyperlinks>
    <hyperlink ref="B38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4" sqref="C4"/>
    </sheetView>
  </sheetViews>
  <sheetFormatPr baseColWidth="10" defaultColWidth="9.140625" defaultRowHeight="15" x14ac:dyDescent="0.25"/>
  <cols>
    <col min="1" max="1" width="5.5703125" style="4" customWidth="1"/>
    <col min="2" max="2" width="49.28515625" style="6" customWidth="1"/>
    <col min="3" max="3" width="9.140625" style="6"/>
    <col min="4" max="4" width="13.42578125" style="6" customWidth="1"/>
    <col min="5" max="16384" width="9.140625" style="6"/>
  </cols>
  <sheetData>
    <row r="1" spans="1:3" x14ac:dyDescent="0.25">
      <c r="B1" s="5" t="s">
        <v>21</v>
      </c>
    </row>
    <row r="2" spans="1:3" x14ac:dyDescent="0.25">
      <c r="B2" s="5"/>
    </row>
    <row r="3" spans="1:3" x14ac:dyDescent="0.25">
      <c r="B3" s="5" t="s">
        <v>19</v>
      </c>
    </row>
    <row r="4" spans="1:3" x14ac:dyDescent="0.25">
      <c r="B4" s="6" t="s">
        <v>0</v>
      </c>
      <c r="C4" s="7">
        <f>Eingabeblatt!C13</f>
        <v>220000</v>
      </c>
    </row>
    <row r="5" spans="1:3" x14ac:dyDescent="0.25">
      <c r="B5" s="59" t="str">
        <f>IF(C4&gt;255000,"!! Achtung die Einnahmen sind &gt;255.000 Euro, die Gastro-Pauschalierung ist nicht möglich.","")</f>
        <v/>
      </c>
      <c r="C5" s="7"/>
    </row>
    <row r="6" spans="1:3" x14ac:dyDescent="0.25">
      <c r="B6" s="5" t="s">
        <v>20</v>
      </c>
      <c r="C6" s="7"/>
    </row>
    <row r="7" spans="1:3" ht="30" x14ac:dyDescent="0.25">
      <c r="A7" s="4" t="s">
        <v>1</v>
      </c>
      <c r="B7" s="6" t="s">
        <v>22</v>
      </c>
      <c r="C7" s="7">
        <f>Eingabeblatt!C16</f>
        <v>55000</v>
      </c>
    </row>
    <row r="8" spans="1:3" x14ac:dyDescent="0.25">
      <c r="A8" s="4" t="s">
        <v>1</v>
      </c>
      <c r="B8" s="6" t="s">
        <v>18</v>
      </c>
      <c r="C8" s="7">
        <f>Eingabeblatt!C17</f>
        <v>50000</v>
      </c>
    </row>
    <row r="9" spans="1:3" x14ac:dyDescent="0.25">
      <c r="A9" s="4" t="s">
        <v>1</v>
      </c>
      <c r="B9" s="6" t="s">
        <v>2</v>
      </c>
      <c r="C9" s="7">
        <f>Eingabeblatt!C18</f>
        <v>20000</v>
      </c>
    </row>
    <row r="10" spans="1:3" x14ac:dyDescent="0.25">
      <c r="A10" s="4" t="s">
        <v>1</v>
      </c>
      <c r="B10" s="6" t="s">
        <v>3</v>
      </c>
      <c r="C10" s="7">
        <f>Eingabeblatt!C19</f>
        <v>500</v>
      </c>
    </row>
    <row r="11" spans="1:3" x14ac:dyDescent="0.25">
      <c r="A11" s="4" t="s">
        <v>1</v>
      </c>
      <c r="B11" s="6" t="s">
        <v>4</v>
      </c>
      <c r="C11" s="7">
        <f>Eingabeblatt!C20</f>
        <v>1000</v>
      </c>
    </row>
    <row r="12" spans="1:3" x14ac:dyDescent="0.25">
      <c r="A12" s="4" t="s">
        <v>1</v>
      </c>
      <c r="B12" s="6" t="s">
        <v>5</v>
      </c>
      <c r="C12" s="7">
        <f>Eingabeblatt!C21</f>
        <v>6000</v>
      </c>
    </row>
    <row r="13" spans="1:3" x14ac:dyDescent="0.25">
      <c r="A13" s="4" t="s">
        <v>1</v>
      </c>
      <c r="B13" s="6" t="s">
        <v>6</v>
      </c>
      <c r="C13" s="7">
        <f>Eingabeblatt!C22</f>
        <v>2000</v>
      </c>
    </row>
    <row r="14" spans="1:3" x14ac:dyDescent="0.25">
      <c r="A14" s="4" t="s">
        <v>1</v>
      </c>
      <c r="B14" s="6" t="s">
        <v>7</v>
      </c>
      <c r="C14" s="7">
        <f>Eingabeblatt!C23</f>
        <v>24000</v>
      </c>
    </row>
    <row r="15" spans="1:3" x14ac:dyDescent="0.25">
      <c r="A15" s="4" t="s">
        <v>1</v>
      </c>
      <c r="B15" s="6" t="s">
        <v>8</v>
      </c>
      <c r="C15" s="7">
        <f>Eingabeblatt!C24</f>
        <v>2000</v>
      </c>
    </row>
    <row r="16" spans="1:3" x14ac:dyDescent="0.25">
      <c r="A16" s="4" t="s">
        <v>1</v>
      </c>
      <c r="B16" s="6" t="s">
        <v>9</v>
      </c>
      <c r="C16" s="7">
        <f>Eingabeblatt!C25</f>
        <v>3000</v>
      </c>
    </row>
    <row r="17" spans="1:4" x14ac:dyDescent="0.25">
      <c r="A17" s="4" t="s">
        <v>1</v>
      </c>
      <c r="B17" s="6" t="s">
        <v>10</v>
      </c>
      <c r="C17" s="7">
        <f>Eingabeblatt!C26</f>
        <v>0</v>
      </c>
    </row>
    <row r="18" spans="1:4" x14ac:dyDescent="0.25">
      <c r="C18" s="7"/>
    </row>
    <row r="19" spans="1:4" x14ac:dyDescent="0.25">
      <c r="A19" s="4" t="s">
        <v>1</v>
      </c>
      <c r="B19" s="6" t="s">
        <v>11</v>
      </c>
      <c r="C19" s="7">
        <f>C4*0.1</f>
        <v>22000</v>
      </c>
    </row>
    <row r="20" spans="1:4" x14ac:dyDescent="0.25">
      <c r="C20" s="7"/>
    </row>
    <row r="21" spans="1:4" x14ac:dyDescent="0.25">
      <c r="B21" s="8" t="s">
        <v>48</v>
      </c>
      <c r="C21" s="7">
        <f>IF(C22&gt;(C4*0.02),C4*0.02,C22)</f>
        <v>0</v>
      </c>
    </row>
    <row r="22" spans="1:4" x14ac:dyDescent="0.25">
      <c r="B22" s="8" t="s">
        <v>47</v>
      </c>
      <c r="C22" s="7">
        <f>Eingabeblatt!C28</f>
        <v>0</v>
      </c>
    </row>
    <row r="23" spans="1:4" x14ac:dyDescent="0.25">
      <c r="B23" s="8" t="s">
        <v>12</v>
      </c>
      <c r="C23" s="7"/>
    </row>
    <row r="24" spans="1:4" x14ac:dyDescent="0.25">
      <c r="A24" s="4" t="s">
        <v>1</v>
      </c>
      <c r="B24" s="9" t="s">
        <v>13</v>
      </c>
      <c r="C24" s="10">
        <f>Eingabeblatt!C27</f>
        <v>5000</v>
      </c>
      <c r="D24" s="11"/>
    </row>
    <row r="25" spans="1:4" x14ac:dyDescent="0.25">
      <c r="B25" s="8" t="s">
        <v>30</v>
      </c>
      <c r="C25" s="7">
        <f>MAX(C21,C24)</f>
        <v>5000</v>
      </c>
    </row>
    <row r="26" spans="1:4" x14ac:dyDescent="0.25">
      <c r="B26" s="8"/>
      <c r="C26" s="7"/>
    </row>
    <row r="27" spans="1:4" x14ac:dyDescent="0.25">
      <c r="B27" s="8" t="s">
        <v>14</v>
      </c>
      <c r="C27" s="7">
        <f>C4*0.08</f>
        <v>17600</v>
      </c>
    </row>
    <row r="28" spans="1:4" x14ac:dyDescent="0.25">
      <c r="B28" s="8" t="s">
        <v>12</v>
      </c>
      <c r="C28" s="7"/>
    </row>
    <row r="29" spans="1:4" x14ac:dyDescent="0.25">
      <c r="B29" s="9" t="s">
        <v>35</v>
      </c>
      <c r="C29" s="10">
        <f>Eingabeblatt!C29+Eingabeblatt!C30</f>
        <v>10000</v>
      </c>
      <c r="D29" s="11"/>
    </row>
    <row r="30" spans="1:4" x14ac:dyDescent="0.25">
      <c r="A30" s="4" t="s">
        <v>1</v>
      </c>
      <c r="B30" s="12" t="s">
        <v>29</v>
      </c>
      <c r="C30" s="13">
        <f>MAX(C27,C29)</f>
        <v>17600</v>
      </c>
      <c r="D30" s="11"/>
    </row>
    <row r="31" spans="1:4" ht="15.75" thickBot="1" x14ac:dyDescent="0.3">
      <c r="B31" s="14" t="s">
        <v>26</v>
      </c>
      <c r="C31" s="15">
        <f>SUM(C7:C19)+C25+C30</f>
        <v>208100</v>
      </c>
      <c r="D31" s="11"/>
    </row>
    <row r="32" spans="1:4" x14ac:dyDescent="0.25">
      <c r="A32" s="4" t="s">
        <v>15</v>
      </c>
      <c r="B32" s="16" t="s">
        <v>16</v>
      </c>
      <c r="C32" s="7">
        <f>C4-C31</f>
        <v>11900</v>
      </c>
    </row>
    <row r="33" spans="1:4" x14ac:dyDescent="0.25">
      <c r="A33" s="4" t="s">
        <v>1</v>
      </c>
      <c r="B33" s="17" t="s">
        <v>27</v>
      </c>
      <c r="C33" s="13">
        <f>IF(C32&lt;=0,0,IF(AND(C32&lt;30000,C32&gt;0),C32*-0.13,30000*-0.13))</f>
        <v>-1547</v>
      </c>
      <c r="D33" s="11"/>
    </row>
    <row r="34" spans="1:4" ht="15.75" thickBot="1" x14ac:dyDescent="0.3">
      <c r="A34" s="4" t="s">
        <v>15</v>
      </c>
      <c r="B34" s="18" t="s">
        <v>17</v>
      </c>
      <c r="C34" s="19">
        <f>C32+C33</f>
        <v>10353</v>
      </c>
    </row>
    <row r="35" spans="1:4" ht="15.75" thickTop="1" x14ac:dyDescent="0.25">
      <c r="C35" s="7"/>
    </row>
    <row r="36" spans="1:4" x14ac:dyDescent="0.25">
      <c r="B36" s="5" t="s">
        <v>28</v>
      </c>
      <c r="C36" s="20">
        <f>IF(C34&lt;=11000,0,IF(C34&lt;=25000,((C34-11000)*5110)/14000,IF(C34&lt;=60000,((C34-25000)*15125)/35000+5110,(C34-60000)*0.5+20235)))</f>
        <v>0</v>
      </c>
      <c r="D36" s="21"/>
    </row>
    <row r="37" spans="1:4" x14ac:dyDescent="0.25">
      <c r="C37" s="7"/>
    </row>
    <row r="38" spans="1:4" x14ac:dyDescent="0.25">
      <c r="C38" s="7"/>
    </row>
    <row r="39" spans="1:4" x14ac:dyDescent="0.25">
      <c r="C39" s="7"/>
    </row>
    <row r="40" spans="1:4" x14ac:dyDescent="0.25">
      <c r="C40" s="7"/>
    </row>
    <row r="41" spans="1:4" x14ac:dyDescent="0.25">
      <c r="C41" s="7"/>
    </row>
    <row r="42" spans="1:4" x14ac:dyDescent="0.25">
      <c r="C42" s="7"/>
    </row>
    <row r="43" spans="1:4" x14ac:dyDescent="0.25">
      <c r="C43" s="7"/>
    </row>
    <row r="44" spans="1:4" x14ac:dyDescent="0.25">
      <c r="B44" s="22" t="s">
        <v>57</v>
      </c>
      <c r="C44" s="7"/>
    </row>
    <row r="45" spans="1:4" x14ac:dyDescent="0.25">
      <c r="B45" s="22" t="s">
        <v>60</v>
      </c>
      <c r="C45" s="7"/>
    </row>
    <row r="46" spans="1:4" x14ac:dyDescent="0.2">
      <c r="B46" s="23" t="s">
        <v>58</v>
      </c>
      <c r="C46" s="7"/>
    </row>
    <row r="47" spans="1:4" x14ac:dyDescent="0.25">
      <c r="B47" s="22" t="s">
        <v>59</v>
      </c>
    </row>
    <row r="48" spans="1:4" x14ac:dyDescent="0.25">
      <c r="B48" s="22" t="s">
        <v>70</v>
      </c>
    </row>
  </sheetData>
  <sheetProtection password="DE5F" sheet="1" objects="1" scenarios="1" selectLockedCells="1" selectUnlockedCells="1"/>
  <hyperlinks>
    <hyperlink ref="B46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8" workbookViewId="0">
      <selection activeCell="D46" sqref="D46"/>
    </sheetView>
  </sheetViews>
  <sheetFormatPr baseColWidth="10" defaultColWidth="9.140625" defaultRowHeight="15" x14ac:dyDescent="0.25"/>
  <cols>
    <col min="1" max="1" width="4" style="6" customWidth="1"/>
    <col min="2" max="2" width="49.7109375" style="6" customWidth="1"/>
    <col min="3" max="4" width="9.140625" style="6"/>
    <col min="5" max="5" width="13.140625" style="6" customWidth="1"/>
    <col min="6" max="16384" width="9.140625" style="6"/>
  </cols>
  <sheetData>
    <row r="1" spans="1:3" ht="30" x14ac:dyDescent="0.25">
      <c r="B1" s="5" t="s">
        <v>36</v>
      </c>
    </row>
    <row r="2" spans="1:3" x14ac:dyDescent="0.25">
      <c r="B2" s="5"/>
    </row>
    <row r="3" spans="1:3" x14ac:dyDescent="0.25">
      <c r="A3" s="4"/>
      <c r="B3" s="5" t="s">
        <v>19</v>
      </c>
    </row>
    <row r="4" spans="1:3" x14ac:dyDescent="0.25">
      <c r="A4" s="4"/>
      <c r="B4" s="6" t="s">
        <v>0</v>
      </c>
      <c r="C4" s="7">
        <f>Eingabeblatt!C13</f>
        <v>220000</v>
      </c>
    </row>
    <row r="5" spans="1:3" x14ac:dyDescent="0.25">
      <c r="A5" s="4"/>
      <c r="B5" s="61" t="str">
        <f>IF(C4&gt;220000,"!! Achtung die Einnahmen sind &gt;220.000 Euro, die Betriebsausgabenpauschalierung ist nicht möglich.","")</f>
        <v/>
      </c>
      <c r="C5" s="7"/>
    </row>
    <row r="6" spans="1:3" x14ac:dyDescent="0.25">
      <c r="A6" s="4"/>
      <c r="B6" s="5" t="s">
        <v>20</v>
      </c>
      <c r="C6" s="7"/>
    </row>
    <row r="7" spans="1:3" ht="30" x14ac:dyDescent="0.25">
      <c r="A7" s="4" t="s">
        <v>1</v>
      </c>
      <c r="B7" s="6" t="s">
        <v>22</v>
      </c>
      <c r="C7" s="7">
        <f>Eingabeblatt!C16</f>
        <v>55000</v>
      </c>
    </row>
    <row r="8" spans="1:3" x14ac:dyDescent="0.25">
      <c r="A8" s="4" t="s">
        <v>1</v>
      </c>
      <c r="B8" s="6" t="s">
        <v>18</v>
      </c>
      <c r="C8" s="7">
        <f>Eingabeblatt!C17</f>
        <v>50000</v>
      </c>
    </row>
    <row r="9" spans="1:3" x14ac:dyDescent="0.25">
      <c r="A9" s="4" t="s">
        <v>1</v>
      </c>
      <c r="B9" s="6" t="s">
        <v>2</v>
      </c>
      <c r="C9" s="7">
        <f>Eingabeblatt!C18</f>
        <v>20000</v>
      </c>
    </row>
    <row r="10" spans="1:3" x14ac:dyDescent="0.25">
      <c r="A10" s="4" t="s">
        <v>1</v>
      </c>
      <c r="B10" s="6" t="s">
        <v>3</v>
      </c>
      <c r="C10" s="7">
        <f>Eingabeblatt!C19</f>
        <v>500</v>
      </c>
    </row>
    <row r="11" spans="1:3" x14ac:dyDescent="0.25">
      <c r="A11" s="4" t="s">
        <v>1</v>
      </c>
      <c r="B11" s="6" t="s">
        <v>4</v>
      </c>
      <c r="C11" s="24" t="s">
        <v>46</v>
      </c>
    </row>
    <row r="12" spans="1:3" x14ac:dyDescent="0.25">
      <c r="A12" s="4" t="s">
        <v>1</v>
      </c>
      <c r="B12" s="6" t="s">
        <v>5</v>
      </c>
      <c r="C12" s="24" t="s">
        <v>46</v>
      </c>
    </row>
    <row r="13" spans="1:3" x14ac:dyDescent="0.25">
      <c r="A13" s="4" t="s">
        <v>1</v>
      </c>
      <c r="B13" s="6" t="s">
        <v>6</v>
      </c>
      <c r="C13" s="24" t="s">
        <v>46</v>
      </c>
    </row>
    <row r="14" spans="1:3" x14ac:dyDescent="0.25">
      <c r="A14" s="4" t="s">
        <v>1</v>
      </c>
      <c r="B14" s="6" t="s">
        <v>7</v>
      </c>
      <c r="C14" s="24" t="s">
        <v>46</v>
      </c>
    </row>
    <row r="15" spans="1:3" x14ac:dyDescent="0.25">
      <c r="A15" s="4" t="s">
        <v>1</v>
      </c>
      <c r="B15" s="6" t="s">
        <v>8</v>
      </c>
      <c r="C15" s="24" t="s">
        <v>46</v>
      </c>
    </row>
    <row r="16" spans="1:3" x14ac:dyDescent="0.25">
      <c r="A16" s="4" t="s">
        <v>1</v>
      </c>
      <c r="B16" s="6" t="s">
        <v>9</v>
      </c>
      <c r="C16" s="7">
        <f>Eingabeblatt!C25</f>
        <v>3000</v>
      </c>
    </row>
    <row r="17" spans="1:3" x14ac:dyDescent="0.25">
      <c r="A17" s="4" t="s">
        <v>1</v>
      </c>
      <c r="B17" s="6" t="s">
        <v>10</v>
      </c>
      <c r="C17" s="24" t="s">
        <v>46</v>
      </c>
    </row>
    <row r="18" spans="1:3" x14ac:dyDescent="0.25">
      <c r="A18" s="4"/>
      <c r="C18" s="7"/>
    </row>
    <row r="19" spans="1:3" x14ac:dyDescent="0.25">
      <c r="A19" s="4" t="s">
        <v>1</v>
      </c>
      <c r="B19" s="6" t="s">
        <v>24</v>
      </c>
      <c r="C19" s="7"/>
    </row>
    <row r="20" spans="1:3" x14ac:dyDescent="0.25">
      <c r="B20" s="25" t="s">
        <v>12</v>
      </c>
      <c r="C20" s="7"/>
    </row>
    <row r="21" spans="1:3" x14ac:dyDescent="0.25">
      <c r="A21" s="4" t="s">
        <v>1</v>
      </c>
      <c r="B21" s="6" t="s">
        <v>23</v>
      </c>
      <c r="C21" s="7">
        <f>C4*0.12</f>
        <v>26400</v>
      </c>
    </row>
    <row r="22" spans="1:3" x14ac:dyDescent="0.25">
      <c r="A22" s="4"/>
      <c r="B22" s="8" t="s">
        <v>25</v>
      </c>
      <c r="C22" s="7"/>
    </row>
    <row r="23" spans="1:3" x14ac:dyDescent="0.25">
      <c r="A23" s="4"/>
      <c r="B23" s="12"/>
      <c r="C23" s="13"/>
    </row>
    <row r="24" spans="1:3" x14ac:dyDescent="0.25">
      <c r="A24" s="4"/>
      <c r="B24" s="26" t="s">
        <v>26</v>
      </c>
      <c r="C24" s="27">
        <f>SUM(C7:C23)</f>
        <v>154900</v>
      </c>
    </row>
    <row r="25" spans="1:3" ht="15.75" thickBot="1" x14ac:dyDescent="0.3">
      <c r="A25" s="4" t="s">
        <v>15</v>
      </c>
      <c r="B25" s="28" t="s">
        <v>16</v>
      </c>
      <c r="C25" s="29">
        <f>C4-C24</f>
        <v>65100</v>
      </c>
    </row>
    <row r="26" spans="1:3" x14ac:dyDescent="0.25">
      <c r="A26" s="4" t="s">
        <v>1</v>
      </c>
      <c r="B26" s="17" t="s">
        <v>27</v>
      </c>
      <c r="C26" s="13">
        <f>IF(C25&lt;=0,0,IF(AND(C25&lt;30000,C25&gt;0),C25*-0.13,30000*-0.13))</f>
        <v>-3900</v>
      </c>
    </row>
    <row r="27" spans="1:3" ht="15.75" thickBot="1" x14ac:dyDescent="0.3">
      <c r="A27" s="4" t="s">
        <v>15</v>
      </c>
      <c r="B27" s="18" t="s">
        <v>17</v>
      </c>
      <c r="C27" s="19">
        <f>C25+C26</f>
        <v>61200</v>
      </c>
    </row>
    <row r="28" spans="1:3" ht="15.75" thickTop="1" x14ac:dyDescent="0.25">
      <c r="C28" s="7"/>
    </row>
    <row r="29" spans="1:3" x14ac:dyDescent="0.25">
      <c r="B29" s="5" t="s">
        <v>28</v>
      </c>
      <c r="C29" s="20">
        <f>IF(C27&lt;=11000,0,IF(C27&lt;=25000,((C27-11000)*5110)/14000,IF(C27&lt;=60000,((C27-25000)*15125)/35000+5110,(C27-60000)*0.5+20235)))</f>
        <v>20835</v>
      </c>
    </row>
    <row r="30" spans="1:3" x14ac:dyDescent="0.25">
      <c r="C30" s="7"/>
    </row>
    <row r="31" spans="1:3" x14ac:dyDescent="0.25">
      <c r="C31" s="7"/>
    </row>
    <row r="32" spans="1:3" x14ac:dyDescent="0.25">
      <c r="C32" s="7"/>
    </row>
    <row r="33" spans="2:3" x14ac:dyDescent="0.25">
      <c r="C33" s="7"/>
    </row>
    <row r="34" spans="2:3" x14ac:dyDescent="0.25">
      <c r="C34" s="7"/>
    </row>
    <row r="42" spans="2:3" x14ac:dyDescent="0.25">
      <c r="B42" s="22" t="s">
        <v>57</v>
      </c>
    </row>
    <row r="43" spans="2:3" x14ac:dyDescent="0.25">
      <c r="B43" s="22" t="s">
        <v>60</v>
      </c>
    </row>
    <row r="44" spans="2:3" x14ac:dyDescent="0.2">
      <c r="B44" s="23" t="s">
        <v>58</v>
      </c>
    </row>
    <row r="45" spans="2:3" x14ac:dyDescent="0.25">
      <c r="B45" s="22" t="s">
        <v>59</v>
      </c>
    </row>
    <row r="46" spans="2:3" x14ac:dyDescent="0.25">
      <c r="B46" s="22" t="s">
        <v>70</v>
      </c>
    </row>
  </sheetData>
  <sheetProtection password="DE5F" sheet="1" objects="1" scenarios="1" selectLockedCells="1" selectUnlockedCells="1"/>
  <hyperlinks>
    <hyperlink ref="B44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B46" sqref="B46"/>
    </sheetView>
  </sheetViews>
  <sheetFormatPr baseColWidth="10" defaultColWidth="9.140625" defaultRowHeight="15" x14ac:dyDescent="0.25"/>
  <cols>
    <col min="1" max="1" width="5" style="4" customWidth="1"/>
    <col min="2" max="2" width="49.28515625" style="6" customWidth="1"/>
    <col min="3" max="3" width="9.140625" style="6"/>
    <col min="4" max="4" width="13.42578125" style="6" customWidth="1"/>
    <col min="5" max="5" width="8.140625" style="6" customWidth="1"/>
    <col min="6" max="6" width="56" style="6" customWidth="1"/>
    <col min="7" max="16384" width="9.140625" style="6"/>
  </cols>
  <sheetData>
    <row r="1" spans="1:3" x14ac:dyDescent="0.25">
      <c r="B1" s="5" t="s">
        <v>31</v>
      </c>
      <c r="C1" s="7"/>
    </row>
    <row r="2" spans="1:3" x14ac:dyDescent="0.25">
      <c r="C2" s="7"/>
    </row>
    <row r="3" spans="1:3" x14ac:dyDescent="0.25">
      <c r="B3" s="5" t="s">
        <v>19</v>
      </c>
      <c r="C3" s="7"/>
    </row>
    <row r="4" spans="1:3" x14ac:dyDescent="0.25">
      <c r="B4" s="6" t="s">
        <v>0</v>
      </c>
      <c r="C4" s="7">
        <f>Eingabeblatt!C13</f>
        <v>220000</v>
      </c>
    </row>
    <row r="5" spans="1:3" x14ac:dyDescent="0.25">
      <c r="C5" s="7"/>
    </row>
    <row r="6" spans="1:3" x14ac:dyDescent="0.25">
      <c r="B6" s="5" t="s">
        <v>20</v>
      </c>
      <c r="C6" s="7"/>
    </row>
    <row r="7" spans="1:3" ht="30" x14ac:dyDescent="0.25">
      <c r="A7" s="4" t="s">
        <v>1</v>
      </c>
      <c r="B7" s="6" t="s">
        <v>22</v>
      </c>
      <c r="C7" s="7">
        <f>Eingabeblatt!C16</f>
        <v>55000</v>
      </c>
    </row>
    <row r="8" spans="1:3" x14ac:dyDescent="0.25">
      <c r="A8" s="4" t="s">
        <v>1</v>
      </c>
      <c r="B8" s="6" t="s">
        <v>18</v>
      </c>
      <c r="C8" s="7">
        <f>Eingabeblatt!C17</f>
        <v>50000</v>
      </c>
    </row>
    <row r="9" spans="1:3" x14ac:dyDescent="0.25">
      <c r="A9" s="4" t="s">
        <v>1</v>
      </c>
      <c r="B9" s="6" t="s">
        <v>2</v>
      </c>
      <c r="C9" s="7">
        <f>Eingabeblatt!C18</f>
        <v>20000</v>
      </c>
    </row>
    <row r="10" spans="1:3" x14ac:dyDescent="0.25">
      <c r="A10" s="4" t="s">
        <v>1</v>
      </c>
      <c r="B10" s="6" t="s">
        <v>3</v>
      </c>
      <c r="C10" s="7">
        <f>Eingabeblatt!C19</f>
        <v>500</v>
      </c>
    </row>
    <row r="11" spans="1:3" x14ac:dyDescent="0.25">
      <c r="A11" s="4" t="s">
        <v>1</v>
      </c>
      <c r="B11" s="6" t="s">
        <v>4</v>
      </c>
      <c r="C11" s="7">
        <f>Eingabeblatt!C20</f>
        <v>1000</v>
      </c>
    </row>
    <row r="12" spans="1:3" x14ac:dyDescent="0.25">
      <c r="A12" s="4" t="s">
        <v>1</v>
      </c>
      <c r="B12" s="6" t="s">
        <v>5</v>
      </c>
      <c r="C12" s="7">
        <f>Eingabeblatt!C21</f>
        <v>6000</v>
      </c>
    </row>
    <row r="13" spans="1:3" x14ac:dyDescent="0.25">
      <c r="A13" s="4" t="s">
        <v>1</v>
      </c>
      <c r="B13" s="6" t="s">
        <v>6</v>
      </c>
      <c r="C13" s="7">
        <f>Eingabeblatt!C22</f>
        <v>2000</v>
      </c>
    </row>
    <row r="14" spans="1:3" x14ac:dyDescent="0.25">
      <c r="A14" s="4" t="s">
        <v>1</v>
      </c>
      <c r="B14" s="6" t="s">
        <v>7</v>
      </c>
      <c r="C14" s="7">
        <f>Eingabeblatt!C23</f>
        <v>24000</v>
      </c>
    </row>
    <row r="15" spans="1:3" x14ac:dyDescent="0.25">
      <c r="A15" s="4" t="s">
        <v>1</v>
      </c>
      <c r="B15" s="6" t="s">
        <v>8</v>
      </c>
      <c r="C15" s="7">
        <f>Eingabeblatt!C24</f>
        <v>2000</v>
      </c>
    </row>
    <row r="16" spans="1:3" x14ac:dyDescent="0.25">
      <c r="A16" s="4" t="s">
        <v>1</v>
      </c>
      <c r="B16" s="6" t="s">
        <v>9</v>
      </c>
      <c r="C16" s="7">
        <f>Eingabeblatt!C25</f>
        <v>3000</v>
      </c>
    </row>
    <row r="17" spans="1:4" x14ac:dyDescent="0.25">
      <c r="A17" s="4" t="s">
        <v>1</v>
      </c>
      <c r="B17" s="6" t="s">
        <v>10</v>
      </c>
      <c r="C17" s="7">
        <f>Eingabeblatt!C26</f>
        <v>0</v>
      </c>
    </row>
    <row r="18" spans="1:4" x14ac:dyDescent="0.25">
      <c r="A18" s="4" t="s">
        <v>1</v>
      </c>
      <c r="B18" s="6" t="s">
        <v>32</v>
      </c>
      <c r="C18" s="7">
        <f>Eingabeblatt!C27</f>
        <v>5000</v>
      </c>
    </row>
    <row r="19" spans="1:4" ht="30" x14ac:dyDescent="0.25">
      <c r="A19" s="30"/>
      <c r="B19" s="11" t="s">
        <v>33</v>
      </c>
      <c r="C19" s="27">
        <f>Eingabeblatt!C29+Eingabeblatt!C30</f>
        <v>10000</v>
      </c>
    </row>
    <row r="20" spans="1:4" ht="45" x14ac:dyDescent="0.25">
      <c r="A20" s="30"/>
      <c r="B20" s="11" t="s">
        <v>34</v>
      </c>
      <c r="C20" s="27">
        <f>Eingabeblatt!C31</f>
        <v>9000</v>
      </c>
    </row>
    <row r="21" spans="1:4" x14ac:dyDescent="0.25">
      <c r="A21" s="30"/>
      <c r="B21" s="26"/>
      <c r="C21" s="27"/>
    </row>
    <row r="22" spans="1:4" x14ac:dyDescent="0.25">
      <c r="A22" s="30"/>
      <c r="B22" s="12"/>
      <c r="C22" s="13"/>
      <c r="D22" s="11"/>
    </row>
    <row r="23" spans="1:4" x14ac:dyDescent="0.25">
      <c r="B23" s="31" t="s">
        <v>26</v>
      </c>
      <c r="C23" s="32">
        <f>SUM(C7:C22)</f>
        <v>187500</v>
      </c>
      <c r="D23" s="11"/>
    </row>
    <row r="24" spans="1:4" ht="15.75" thickBot="1" x14ac:dyDescent="0.3">
      <c r="A24" s="4" t="s">
        <v>15</v>
      </c>
      <c r="B24" s="33" t="s">
        <v>16</v>
      </c>
      <c r="C24" s="15">
        <f>C4-C23</f>
        <v>32500</v>
      </c>
    </row>
    <row r="25" spans="1:4" x14ac:dyDescent="0.25">
      <c r="A25" s="4" t="s">
        <v>1</v>
      </c>
      <c r="B25" s="17" t="s">
        <v>27</v>
      </c>
      <c r="C25" s="13">
        <f>IF(C24&lt;=0,0,IF(AND(C24&lt;30000,C24&gt;0),C24*-0.13,30000*-0.13))</f>
        <v>-3900</v>
      </c>
      <c r="D25" s="11"/>
    </row>
    <row r="26" spans="1:4" ht="15.75" thickBot="1" x14ac:dyDescent="0.3">
      <c r="A26" s="4" t="s">
        <v>15</v>
      </c>
      <c r="B26" s="18" t="s">
        <v>17</v>
      </c>
      <c r="C26" s="19">
        <f>C24+C25</f>
        <v>28600</v>
      </c>
    </row>
    <row r="27" spans="1:4" ht="15.75" thickTop="1" x14ac:dyDescent="0.25">
      <c r="C27" s="7"/>
    </row>
    <row r="28" spans="1:4" x14ac:dyDescent="0.25">
      <c r="B28" s="5" t="s">
        <v>28</v>
      </c>
      <c r="C28" s="20">
        <f>IF(C26&lt;=11000,0,IF(C26&lt;=25000,((C26-11000)*5110)/14000,IF(C26&lt;=60000,((C26-25000)*15125)/35000+5110,(C26-60000)*0.5+20235)))</f>
        <v>6665.7142857142862</v>
      </c>
      <c r="D28" s="21"/>
    </row>
    <row r="29" spans="1:4" x14ac:dyDescent="0.25">
      <c r="C29" s="7"/>
    </row>
    <row r="30" spans="1:4" x14ac:dyDescent="0.25">
      <c r="C30" s="7"/>
    </row>
    <row r="31" spans="1:4" x14ac:dyDescent="0.25">
      <c r="C31" s="7"/>
    </row>
    <row r="32" spans="1:4" x14ac:dyDescent="0.25">
      <c r="C32" s="7"/>
    </row>
    <row r="33" spans="2:3" x14ac:dyDescent="0.25">
      <c r="C33" s="7"/>
    </row>
    <row r="34" spans="2:3" x14ac:dyDescent="0.25">
      <c r="C34" s="7"/>
    </row>
    <row r="35" spans="2:3" x14ac:dyDescent="0.25">
      <c r="C35" s="7"/>
    </row>
    <row r="36" spans="2:3" x14ac:dyDescent="0.25">
      <c r="C36" s="7"/>
    </row>
    <row r="37" spans="2:3" x14ac:dyDescent="0.25">
      <c r="C37" s="7"/>
    </row>
    <row r="38" spans="2:3" x14ac:dyDescent="0.25">
      <c r="C38" s="7"/>
    </row>
    <row r="41" spans="2:3" x14ac:dyDescent="0.25">
      <c r="B41" s="22" t="s">
        <v>57</v>
      </c>
    </row>
    <row r="42" spans="2:3" x14ac:dyDescent="0.25">
      <c r="B42" s="22" t="s">
        <v>60</v>
      </c>
    </row>
    <row r="43" spans="2:3" x14ac:dyDescent="0.2">
      <c r="B43" s="23" t="s">
        <v>58</v>
      </c>
    </row>
    <row r="44" spans="2:3" x14ac:dyDescent="0.25">
      <c r="B44" s="22" t="s">
        <v>59</v>
      </c>
    </row>
    <row r="45" spans="2:3" x14ac:dyDescent="0.25">
      <c r="B45" s="22" t="s">
        <v>70</v>
      </c>
    </row>
  </sheetData>
  <sheetProtection password="DE5F" sheet="1" objects="1" scenarios="1" selectLockedCells="1" selectUnlockedCells="1"/>
  <hyperlinks>
    <hyperlink ref="B43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7"/>
  <sheetViews>
    <sheetView zoomScale="130" zoomScaleNormal="130" workbookViewId="0">
      <selection activeCell="C18" sqref="C18"/>
    </sheetView>
  </sheetViews>
  <sheetFormatPr baseColWidth="10" defaultRowHeight="15" x14ac:dyDescent="0.25"/>
  <cols>
    <col min="1" max="1" width="3.42578125" style="22" customWidth="1"/>
    <col min="2" max="2" width="19.5703125" style="22" customWidth="1"/>
    <col min="3" max="3" width="22.42578125" style="22" customWidth="1"/>
    <col min="4" max="4" width="21" style="22" customWidth="1"/>
    <col min="5" max="5" width="16.85546875" style="22" customWidth="1"/>
    <col min="6" max="16384" width="11.42578125" style="22"/>
  </cols>
  <sheetData>
    <row r="6" spans="2:5" ht="60" x14ac:dyDescent="0.25">
      <c r="B6" s="44"/>
      <c r="C6" s="41" t="s">
        <v>50</v>
      </c>
      <c r="D6" s="42" t="s">
        <v>51</v>
      </c>
      <c r="E6" s="42" t="s">
        <v>31</v>
      </c>
    </row>
    <row r="7" spans="2:5" x14ac:dyDescent="0.25">
      <c r="B7" s="45" t="s">
        <v>52</v>
      </c>
      <c r="C7" s="34">
        <f>Eingabeblatt!C13</f>
        <v>220000</v>
      </c>
      <c r="D7" s="34">
        <f>Eingabeblatt!C13</f>
        <v>220000</v>
      </c>
      <c r="E7" s="34">
        <f>Eingabeblatt!C13</f>
        <v>220000</v>
      </c>
    </row>
    <row r="8" spans="2:5" x14ac:dyDescent="0.25">
      <c r="B8" s="45"/>
      <c r="C8" s="35"/>
      <c r="D8" s="35"/>
      <c r="E8" s="35"/>
    </row>
    <row r="9" spans="2:5" ht="30" x14ac:dyDescent="0.25">
      <c r="B9" s="46" t="s">
        <v>53</v>
      </c>
      <c r="C9" s="36">
        <f>Gastgewerbepauschale!C31*-1</f>
        <v>-208100</v>
      </c>
      <c r="D9" s="36">
        <f>Betriebsausgabenpauschale!C24*-1</f>
        <v>-154900</v>
      </c>
      <c r="E9" s="36">
        <f>'E-A-R'!C23*-1</f>
        <v>-187500</v>
      </c>
    </row>
    <row r="10" spans="2:5" x14ac:dyDescent="0.25">
      <c r="B10" s="47" t="s">
        <v>16</v>
      </c>
      <c r="C10" s="37">
        <f>C7+C9</f>
        <v>11900</v>
      </c>
      <c r="D10" s="37">
        <f>D7+D9</f>
        <v>65100</v>
      </c>
      <c r="E10" s="37">
        <f>E7+E9</f>
        <v>32500</v>
      </c>
    </row>
    <row r="11" spans="2:5" ht="30" x14ac:dyDescent="0.25">
      <c r="B11" s="45" t="s">
        <v>65</v>
      </c>
      <c r="C11" s="35">
        <f>IF(C10&lt;30000,C10*-0.13,30000*-0.13)</f>
        <v>-1547</v>
      </c>
      <c r="D11" s="35">
        <f t="shared" ref="D11:E11" si="0">IF(D10&lt;30000,D10*-0.13,30000*-0.13)</f>
        <v>-3900</v>
      </c>
      <c r="E11" s="35">
        <f t="shared" si="0"/>
        <v>-3900</v>
      </c>
    </row>
    <row r="12" spans="2:5" ht="33.75" customHeight="1" thickBot="1" x14ac:dyDescent="0.3">
      <c r="B12" s="48" t="s">
        <v>17</v>
      </c>
      <c r="C12" s="38">
        <f>C10+C11</f>
        <v>10353</v>
      </c>
      <c r="D12" s="38">
        <f t="shared" ref="D12:E12" si="1">D10+D11</f>
        <v>61200</v>
      </c>
      <c r="E12" s="38">
        <f t="shared" si="1"/>
        <v>28600</v>
      </c>
    </row>
    <row r="13" spans="2:5" ht="6.95" hidden="1" customHeight="1" thickTop="1" x14ac:dyDescent="0.25">
      <c r="B13" s="63" t="s">
        <v>71</v>
      </c>
      <c r="C13" s="64">
        <f>IF(C12&lt;11000,0,IF(C12&lt;=18000,(C12-11000)*0.25,IF(C12&lt;=31000,((C12-18000)*0.35+1750),0)))*-1</f>
        <v>0</v>
      </c>
      <c r="D13" s="64">
        <f>IF(D12&lt;11000,0,IF(D12&lt;=18000,(D12-11000)*0.25,IF(D12&lt;=31000,((D12-18000)*0.35+1750),0)))*-1</f>
        <v>0</v>
      </c>
      <c r="E13" s="64">
        <f>IF(E12&lt;11000,0,IF(E12&lt;=18000,(E12-11000)*0.25,IF(E12&lt;=31000,((E12-18000)*0.35+1750),0)))*-1</f>
        <v>-5460</v>
      </c>
    </row>
    <row r="14" spans="2:5" ht="6.95" hidden="1" customHeight="1" x14ac:dyDescent="0.25">
      <c r="B14" s="63" t="s">
        <v>72</v>
      </c>
      <c r="C14" s="65">
        <f>IF(AND(C12&gt;31000,C12&lt;=60000),((C12-31000)*0.42)+6300,IF(AND(C12&gt;60000,C12&lt;=90000),((C12-60000)*0.48)+18480,0))*-1</f>
        <v>0</v>
      </c>
      <c r="D14" s="65">
        <f>IF(AND(D12&gt;31000,D12&lt;=60000),((D12-31000)*0.42)+6300,IF(AND(D12&gt;60000,D12&lt;=90000),((D12-60000)*0.48)+18480,0))*-1</f>
        <v>-19056</v>
      </c>
      <c r="E14" s="65">
        <f>IF(AND(E12&gt;31000,E12&lt;=60000),((E12-31000)*0.42)+6300,IF(AND(E12&gt;60000,E12&lt;=90000),((E12-60000)*0.48)+18480,0))*-1</f>
        <v>0</v>
      </c>
    </row>
    <row r="15" spans="2:5" ht="6.95" hidden="1" customHeight="1" x14ac:dyDescent="0.25">
      <c r="B15" s="63" t="s">
        <v>73</v>
      </c>
      <c r="C15" s="65">
        <f>IF(AND(C12&gt;90000,C12&lt;=1000000),((C12-90000)*0.5)+32880,IF(C12&gt;1000000,((C12-1000000)*0.55)+487880,0))*-1</f>
        <v>0</v>
      </c>
      <c r="D15" s="65">
        <f>IF(AND(D12&gt;90000,D12&lt;=1000000),((D12-90000)*0.5)+32880,IF(D12&gt;1000000,((D12-1000000)*0.55)+487880,0))*-1</f>
        <v>0</v>
      </c>
      <c r="E15" s="65">
        <f>IF(AND(E12&gt;90000,E12&lt;=1000000),((E12-90000)*0.5)+32880,IF(E12&gt;1000000,((E12-1000000)*0.55)+487880,0))*-1</f>
        <v>0</v>
      </c>
    </row>
    <row r="16" spans="2:5" ht="12.75" customHeight="1" thickTop="1" x14ac:dyDescent="0.25">
      <c r="B16" s="66"/>
      <c r="C16" s="65"/>
      <c r="D16" s="65"/>
      <c r="E16" s="65"/>
    </row>
    <row r="17" spans="2:5" ht="18" customHeight="1" x14ac:dyDescent="0.25">
      <c r="B17" s="49" t="s">
        <v>28</v>
      </c>
      <c r="C17" s="39">
        <f>MIN(C13:C15)</f>
        <v>0</v>
      </c>
      <c r="D17" s="39">
        <f>MIN(D13:D15)</f>
        <v>-19056</v>
      </c>
      <c r="E17" s="39">
        <f>MIN(E13:E15)</f>
        <v>-5460</v>
      </c>
    </row>
    <row r="18" spans="2:5" x14ac:dyDescent="0.25">
      <c r="B18" s="50"/>
      <c r="C18" s="40"/>
      <c r="D18" s="40"/>
      <c r="E18" s="40"/>
    </row>
    <row r="19" spans="2:5" ht="60" x14ac:dyDescent="0.25">
      <c r="B19" s="49" t="s">
        <v>54</v>
      </c>
      <c r="C19" s="39">
        <f>IF(C10&gt;4988,MIN(17901,((C10+Eingabeblatt!$C$25)*0.87)*-0.2615+109.32),2095)</f>
        <v>-3280.5045</v>
      </c>
      <c r="D19" s="39">
        <f>IF(D10&gt;4988,MIN(17901,((D10+Eingabeblatt!$C$25)*0.87)*-0.2615+109.32),2095)</f>
        <v>-15383.770500000001</v>
      </c>
      <c r="E19" s="39">
        <f>IF(E10&gt;4988,MIN(17901,((E10+Eingabeblatt!$C$25)*0.87)*-0.2615+109.32),2095)</f>
        <v>-7967.107500000001</v>
      </c>
    </row>
    <row r="20" spans="2:5" ht="15.75" thickBot="1" x14ac:dyDescent="0.3">
      <c r="B20" s="51"/>
      <c r="C20" s="43"/>
      <c r="D20" s="43"/>
      <c r="E20" s="43"/>
    </row>
    <row r="21" spans="2:5" ht="60.75" thickBot="1" x14ac:dyDescent="0.3">
      <c r="B21" s="1" t="s">
        <v>55</v>
      </c>
      <c r="C21" s="2">
        <f>C17+C19</f>
        <v>-3280.5045</v>
      </c>
      <c r="D21" s="2">
        <f t="shared" ref="D21:E21" si="2">D17+D19</f>
        <v>-34439.770499999999</v>
      </c>
      <c r="E21" s="3">
        <f t="shared" si="2"/>
        <v>-13427.107500000002</v>
      </c>
    </row>
    <row r="22" spans="2:5" x14ac:dyDescent="0.25">
      <c r="C22" s="62" t="str">
        <f>IF(C7&gt;255000,"Nicht zulässig da Einnahmen &gt; 255.000 Euro","")</f>
        <v/>
      </c>
      <c r="D22" s="62" t="str">
        <f>IF(D7&gt;220000,"Nicht zulässig da Einnahmen &gt; 220.000 Euro","")</f>
        <v/>
      </c>
    </row>
    <row r="24" spans="2:5" x14ac:dyDescent="0.25">
      <c r="B24" s="22" t="s">
        <v>66</v>
      </c>
    </row>
    <row r="25" spans="2:5" x14ac:dyDescent="0.25">
      <c r="B25" s="22" t="s">
        <v>69</v>
      </c>
    </row>
    <row r="27" spans="2:5" x14ac:dyDescent="0.25">
      <c r="B27" s="22" t="s">
        <v>67</v>
      </c>
    </row>
    <row r="28" spans="2:5" x14ac:dyDescent="0.25">
      <c r="B28" s="22" t="s">
        <v>68</v>
      </c>
    </row>
    <row r="30" spans="2:5" x14ac:dyDescent="0.25">
      <c r="B30" s="22" t="s">
        <v>63</v>
      </c>
    </row>
    <row r="31" spans="2:5" x14ac:dyDescent="0.25">
      <c r="B31" s="22" t="s">
        <v>64</v>
      </c>
    </row>
    <row r="33" spans="2:2" x14ac:dyDescent="0.25">
      <c r="B33" s="22" t="s">
        <v>57</v>
      </c>
    </row>
    <row r="34" spans="2:2" x14ac:dyDescent="0.25">
      <c r="B34" s="22" t="s">
        <v>60</v>
      </c>
    </row>
    <row r="35" spans="2:2" x14ac:dyDescent="0.25">
      <c r="B35" s="23" t="s">
        <v>58</v>
      </c>
    </row>
    <row r="36" spans="2:2" x14ac:dyDescent="0.25">
      <c r="B36" s="22" t="s">
        <v>59</v>
      </c>
    </row>
    <row r="37" spans="2:2" x14ac:dyDescent="0.25">
      <c r="B37" s="22" t="s">
        <v>70</v>
      </c>
    </row>
  </sheetData>
  <sheetProtection password="DE5F" sheet="1" objects="1" scenarios="1" selectLockedCells="1" selectUnlockedCells="1"/>
  <conditionalFormatting sqref="C21:E21">
    <cfRule type="expression" dxfId="3" priority="8">
      <formula>$C$21&lt;0</formula>
    </cfRule>
  </conditionalFormatting>
  <conditionalFormatting sqref="C21">
    <cfRule type="cellIs" dxfId="2" priority="3" operator="lessThan">
      <formula>0</formula>
    </cfRule>
  </conditionalFormatting>
  <conditionalFormatting sqref="D21">
    <cfRule type="cellIs" dxfId="1" priority="2" operator="lessThan">
      <formula>0</formula>
    </cfRule>
  </conditionalFormatting>
  <conditionalFormatting sqref="E21">
    <cfRule type="cellIs" dxfId="0" priority="1" operator="lessThan">
      <formula>0</formula>
    </cfRule>
  </conditionalFormatting>
  <hyperlinks>
    <hyperlink ref="B35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Eingabeblatt</vt:lpstr>
      <vt:lpstr>Gastgewerbepauschale</vt:lpstr>
      <vt:lpstr>Betriebsausgabenpauschale</vt:lpstr>
      <vt:lpstr>E-A-R</vt:lpstr>
      <vt:lpstr>Vergleich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2016-01-01T20:35:12Z</dcterms:modified>
</cp:coreProperties>
</file>