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45" windowHeight="16380"/>
  </bookViews>
  <sheets>
    <sheet name="Eingabeblatt" sheetId="4" r:id="rId1"/>
    <sheet name="Gastgewerbepauschale" sheetId="1" r:id="rId2"/>
    <sheet name="Betriebsausgabenpauschale" sheetId="2" r:id="rId3"/>
    <sheet name="E-A-R" sheetId="3" r:id="rId4"/>
    <sheet name="Vergleich" sheetId="5" r:id="rId5"/>
  </sheets>
  <calcPr calcId="162913"/>
</workbook>
</file>

<file path=xl/calcChain.xml><?xml version="1.0" encoding="utf-8"?>
<calcChain xmlns="http://schemas.openxmlformats.org/spreadsheetml/2006/main">
  <c r="E19" i="5" l="1"/>
  <c r="D19" i="5"/>
  <c r="C19" i="5"/>
  <c r="E15" i="5"/>
  <c r="E14" i="5"/>
  <c r="E13" i="5"/>
  <c r="D15" i="5"/>
  <c r="D14" i="5"/>
  <c r="D13" i="5"/>
  <c r="C15" i="5"/>
  <c r="C14" i="5"/>
  <c r="C13" i="5"/>
  <c r="C31" i="3"/>
  <c r="C30" i="3"/>
  <c r="C29" i="3"/>
  <c r="C32" i="2"/>
  <c r="C30" i="2"/>
  <c r="C31" i="2"/>
  <c r="C39" i="1"/>
  <c r="C38" i="1" l="1"/>
  <c r="C37" i="1"/>
  <c r="E11" i="5" l="1"/>
  <c r="D11" i="5"/>
  <c r="C11" i="5"/>
  <c r="C21" i="1" l="1"/>
  <c r="B14" i="4"/>
  <c r="E7" i="5" l="1"/>
  <c r="D7" i="5"/>
  <c r="D22" i="5" s="1"/>
  <c r="C7" i="5"/>
  <c r="C22" i="5" s="1"/>
  <c r="C18" i="3"/>
  <c r="C19" i="3"/>
  <c r="C17" i="3"/>
  <c r="C8" i="3"/>
  <c r="C10" i="3"/>
  <c r="C11" i="3"/>
  <c r="C12" i="3"/>
  <c r="C13" i="3"/>
  <c r="C14" i="3"/>
  <c r="C15" i="3"/>
  <c r="C16" i="3"/>
  <c r="C7" i="3"/>
  <c r="C4" i="3"/>
  <c r="C8" i="2"/>
  <c r="C10" i="2"/>
  <c r="C16" i="2"/>
  <c r="C7" i="2"/>
  <c r="C4" i="2"/>
  <c r="B5" i="2" s="1"/>
  <c r="C28" i="1"/>
  <c r="C23" i="1"/>
  <c r="C8" i="1"/>
  <c r="C10" i="1"/>
  <c r="C11" i="1"/>
  <c r="C12" i="1"/>
  <c r="C13" i="1"/>
  <c r="C14" i="1"/>
  <c r="C15" i="1"/>
  <c r="C16" i="1"/>
  <c r="C7" i="1"/>
  <c r="C4" i="1"/>
  <c r="C20" i="1" s="1"/>
  <c r="C18" i="1" l="1"/>
  <c r="B5" i="1"/>
  <c r="C20" i="2"/>
  <c r="C24" i="1"/>
  <c r="C9" i="3"/>
  <c r="C22" i="3" s="1"/>
  <c r="C26" i="1"/>
  <c r="C29" i="1" s="1"/>
  <c r="C23" i="3" l="1"/>
  <c r="E9" i="5"/>
  <c r="E10" i="5" s="1"/>
  <c r="C9" i="2"/>
  <c r="C23" i="2" s="1"/>
  <c r="C9" i="1"/>
  <c r="C24" i="3" l="1"/>
  <c r="C28" i="3" s="1"/>
  <c r="C30" i="1"/>
  <c r="C9" i="5" s="1"/>
  <c r="C10" i="5" s="1"/>
  <c r="E12" i="5"/>
  <c r="C24" i="2"/>
  <c r="D9" i="5"/>
  <c r="D10" i="5" s="1"/>
  <c r="C25" i="2" l="1"/>
  <c r="C29" i="2" s="1"/>
  <c r="C31" i="1"/>
  <c r="C12" i="5"/>
  <c r="D12" i="5"/>
  <c r="C27" i="3" l="1"/>
  <c r="E17" i="5"/>
  <c r="E21" i="5" s="1"/>
  <c r="C26" i="2"/>
  <c r="C32" i="1"/>
  <c r="C33" i="1" s="1"/>
  <c r="C25" i="3"/>
  <c r="C28" i="2" l="1"/>
  <c r="C36" i="1"/>
  <c r="C17" i="5"/>
  <c r="C21" i="5" s="1"/>
  <c r="D17" i="5"/>
  <c r="D21" i="5" s="1"/>
  <c r="C35" i="1" l="1"/>
</calcChain>
</file>

<file path=xl/sharedStrings.xml><?xml version="1.0" encoding="utf-8"?>
<sst xmlns="http://schemas.openxmlformats.org/spreadsheetml/2006/main" count="208" uniqueCount="77">
  <si>
    <t>Umsatz (netto)</t>
  </si>
  <si>
    <t>-</t>
  </si>
  <si>
    <t>Lohnnebenkosten (KommSt, DG-Anteil, GKK, DZ, DB)</t>
  </si>
  <si>
    <t>Fremdlöhne (netto)</t>
  </si>
  <si>
    <t>Fortbildungskosten für Mitarbeiter</t>
  </si>
  <si>
    <t>AfA</t>
  </si>
  <si>
    <t>Instandsetzung und Instandhaltung</t>
  </si>
  <si>
    <t>Miete und Pacht von Immobilien</t>
  </si>
  <si>
    <t>Kreditzinsen (Fremdmittelkosten)</t>
  </si>
  <si>
    <t>Gewerbliche Sozialversicherungsbeiträge</t>
  </si>
  <si>
    <t>oder</t>
  </si>
  <si>
    <t>Tatsächlicher Fahrt- und Reiseaufwand</t>
  </si>
  <si>
    <t>8% Energie- und Raumpauschale</t>
  </si>
  <si>
    <t>=</t>
  </si>
  <si>
    <t>Zwischensumme</t>
  </si>
  <si>
    <t>Steuerpflichtiger Gewinn/Verlust</t>
  </si>
  <si>
    <t>Personalaufwand (Summe Jahresbruttolöhne)</t>
  </si>
  <si>
    <t>EINNAHMEN</t>
  </si>
  <si>
    <t>AUSGABEN</t>
  </si>
  <si>
    <t>GASTGEWERBEPAUSCHALIERUNG</t>
  </si>
  <si>
    <t>Waren Rohstoffe, Halberzeugnisse, Hilfsstoffe, Zutaten (netto)</t>
  </si>
  <si>
    <t>12% Betriebsausgabenpauschale</t>
  </si>
  <si>
    <t>6% Betriebsausgabenpauschale</t>
  </si>
  <si>
    <t>(übrige)</t>
  </si>
  <si>
    <t>Summe Ausgaben</t>
  </si>
  <si>
    <t>13% Grund-Gewinnfreibetrag (von max. 30.000)</t>
  </si>
  <si>
    <t>Einkommensteuer</t>
  </si>
  <si>
    <t>Größerer Wert Energie- und Raum</t>
  </si>
  <si>
    <t>Größerer Wert Fahrt- und Reise</t>
  </si>
  <si>
    <t>VOLLE EINNAHMEN-AUSGABEN-RECHNUNG</t>
  </si>
  <si>
    <t>Fahrt- und Reiseaufwand</t>
  </si>
  <si>
    <t>Energieaufwand, Raumaufwand soweit noch nicht erfasst</t>
  </si>
  <si>
    <t>Alle weiteren Ausgaben (Versicherungen, Werbung, Büromaterial, Bewirtung, Verwaltungskosten, Beratung, etc.)</t>
  </si>
  <si>
    <t>Tatsächlicher Energie- und Raumaufwand (Reinigung, etc.)</t>
  </si>
  <si>
    <t>BETRIEBSAUSGABENPAUSCHALIERUNG (§17 Abs2 EStG)</t>
  </si>
  <si>
    <t>Summe aller Einnahmen (netto)</t>
  </si>
  <si>
    <t>AfA (laufende Abschreibungen)</t>
  </si>
  <si>
    <t>Summe aller weiteren Ausgaben (Versicherungen, Werbung, Büromaterial, Bewirtung, Verwaltungskosten, Beratung, etc.)</t>
  </si>
  <si>
    <t>Energieaufwand (Strom, Gas, Öl, Wasser, etc.)</t>
  </si>
  <si>
    <t>Raumaufwand (exkl. Miete, AfA und Instandsetzung; inkl. Reinigung, Abgaben, Gebäudeversicherungen, etc.)</t>
  </si>
  <si>
    <t>Pendlerpauschale (fiktiv)*</t>
  </si>
  <si>
    <t>2. Auf den weiteren Blättern sehen Sie dann die steuerlichen Ergebnisse bei den einzelnen Gewinnermittlungsarten automatisch berechnet</t>
  </si>
  <si>
    <t>ANLEITUNG:</t>
  </si>
  <si>
    <t>/</t>
  </si>
  <si>
    <t>3. Auf dem Blatt "Vergleich" sehen Sie die Ergebnisse gegenüber gestellt</t>
  </si>
  <si>
    <t>GASTGEWERBE-PAUSCHALIERUNG</t>
  </si>
  <si>
    <t>BETRIEBSAUSGABEN-PAUSCHALIERUNG (§17 Abs2 EStG)</t>
  </si>
  <si>
    <t>Einnahmen</t>
  </si>
  <si>
    <t>Summe steuerliche Ausgaben</t>
  </si>
  <si>
    <t>In diesem Jahr in etwa anfallende GSVG-Sozialversicherung*</t>
  </si>
  <si>
    <t>TATSÄCHLICHE BELASTUNG an EINKOMMENSTEUER und GSVG</t>
  </si>
  <si>
    <t>1. Geben Sie hier in den gelben Feldern Ihre Daten ein! Mehr ist nicht notwendig.</t>
  </si>
  <si>
    <t xml:space="preserve">(c) </t>
  </si>
  <si>
    <t>01/ 493 13 99</t>
  </si>
  <si>
    <t>Günstigkeitsvergleich</t>
  </si>
  <si>
    <t>Gastronomie</t>
  </si>
  <si>
    <t>SIE HABEN EINE FRAGE DAZU?</t>
  </si>
  <si>
    <t>RUFEN SIE UNS AN - UNSERE ERSTBERATUNG IST KOSTENLOS!</t>
  </si>
  <si>
    <t>13% Grund-Gewinnfreibetrag</t>
  </si>
  <si>
    <t>*Bei den steuerlichen Ausgaben werden hier die geleisteten GSVG-Vorauszahlungen wieder</t>
  </si>
  <si>
    <t xml:space="preserve">Der GSVG Beitragssatz für Kranken+Pensionsversicherung beträgt </t>
  </si>
  <si>
    <t>hinzu gerechnet. Der Grund-Gewinnfreibetrag wird angewendet.</t>
  </si>
  <si>
    <t>Nebenrechnung1 (Stufen 0,1,2)</t>
  </si>
  <si>
    <t>Nebenrechnung2 (Stufen 3,4)</t>
  </si>
  <si>
    <t>Nebenrechnung3 (Stufen 5,6)</t>
  </si>
  <si>
    <t>SLT Siart Lipkovich + Team GmbH &amp; Co KG</t>
  </si>
  <si>
    <t>www.slt-steuerberatung.at</t>
  </si>
  <si>
    <t>*siehe dazu: www.slt-steuerberatung.at --&gt; Tools&amp;News --&gt; Autos &amp; Reisen --&gt; Pendlerpauschale</t>
  </si>
  <si>
    <t>EST auf Basis BMGRL - GFB</t>
  </si>
  <si>
    <t>25,3% zzgl. 121,08 Euro Unfallversicherung pro Jahr.</t>
  </si>
  <si>
    <t>15% Basispauschale (mind. 6.000, max. 60.000 Euro)</t>
  </si>
  <si>
    <t>Gemeindegröße Einwohner lt. Statistik Austria</t>
  </si>
  <si>
    <t>unter 10.000</t>
  </si>
  <si>
    <t>2-6% Mobilitätspauschale (je nach Gemeindegröße)</t>
  </si>
  <si>
    <t>Höher der Pauschale (%)</t>
  </si>
  <si>
    <t>Stand: 01.1.2023, Haftung ausgeschlossen.</t>
  </si>
  <si>
    <t>Stand: 1.1.2023, Haftung ausgeschlossen.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</si>
</sst>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0"/>
      <color theme="10"/>
      <name val="Arial"/>
      <family val="2"/>
    </font>
    <font>
      <b/>
      <i/>
      <sz val="11"/>
      <color rgb="FFFF0000"/>
      <name val="Calibri"/>
      <family val="2"/>
      <scheme val="minor"/>
    </font>
    <font>
      <sz val="10"/>
      <color theme="0" tint="-0.249977111117893"/>
      <name val="Calibri"/>
      <family val="2"/>
    </font>
    <font>
      <sz val="10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1" fillId="0" borderId="0"/>
    <xf numFmtId="9" fontId="14" fillId="0" borderId="0" applyFont="0" applyFill="0" applyBorder="0" applyAlignment="0" applyProtection="0"/>
  </cellStyleXfs>
  <cellXfs count="74">
    <xf numFmtId="0" fontId="0" fillId="0" borderId="0" xfId="0"/>
    <xf numFmtId="0" fontId="5" fillId="3" borderId="11" xfId="0" applyFont="1" applyFill="1" applyBorder="1" applyAlignment="1">
      <alignment wrapText="1"/>
    </xf>
    <xf numFmtId="3" fontId="5" fillId="3" borderId="11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0" fontId="0" fillId="3" borderId="0" xfId="0" applyFill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3" fontId="0" fillId="3" borderId="0" xfId="0" applyNumberForma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3" fontId="0" fillId="3" borderId="2" xfId="0" applyNumberForma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3" fontId="0" fillId="3" borderId="1" xfId="0" applyNumberForma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3" fontId="0" fillId="3" borderId="6" xfId="0" applyNumberForma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3" fontId="0" fillId="3" borderId="4" xfId="0" applyNumberFormat="1" applyFill="1" applyBorder="1" applyAlignment="1">
      <alignment vertical="top" wrapText="1"/>
    </xf>
    <xf numFmtId="3" fontId="3" fillId="3" borderId="0" xfId="0" applyNumberFormat="1" applyFont="1" applyFill="1" applyAlignment="1">
      <alignment vertical="top" wrapText="1"/>
    </xf>
    <xf numFmtId="164" fontId="3" fillId="3" borderId="0" xfId="0" applyNumberFormat="1" applyFont="1" applyFill="1" applyAlignment="1">
      <alignment vertical="top" wrapText="1"/>
    </xf>
    <xf numFmtId="0" fontId="0" fillId="3" borderId="0" xfId="0" applyFill="1"/>
    <xf numFmtId="0" fontId="8" fillId="3" borderId="0" xfId="1" applyFill="1"/>
    <xf numFmtId="3" fontId="0" fillId="3" borderId="0" xfId="0" applyNumberFormat="1" applyFill="1" applyAlignment="1">
      <alignment horizontal="right" vertical="top" wrapText="1"/>
    </xf>
    <xf numFmtId="0" fontId="4" fillId="3" borderId="0" xfId="0" applyFont="1" applyFill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3" fontId="0" fillId="3" borderId="7" xfId="0" applyNumberFormat="1" applyFill="1" applyBorder="1" applyAlignment="1">
      <alignment vertical="top" wrapText="1"/>
    </xf>
    <xf numFmtId="0" fontId="0" fillId="3" borderId="0" xfId="0" applyFill="1" applyBorder="1" applyAlignment="1">
      <alignment horizontal="right" vertical="top" wrapText="1"/>
    </xf>
    <xf numFmtId="0" fontId="2" fillId="3" borderId="3" xfId="0" applyFont="1" applyFill="1" applyBorder="1" applyAlignment="1">
      <alignment vertical="top" wrapText="1"/>
    </xf>
    <xf numFmtId="3" fontId="0" fillId="3" borderId="3" xfId="0" applyNumberForma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3" fontId="0" fillId="3" borderId="9" xfId="0" applyNumberFormat="1" applyFill="1" applyBorder="1"/>
    <xf numFmtId="0" fontId="0" fillId="3" borderId="9" xfId="0" applyFill="1" applyBorder="1"/>
    <xf numFmtId="3" fontId="0" fillId="3" borderId="8" xfId="0" applyNumberForma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6" fillId="3" borderId="9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0" fillId="3" borderId="15" xfId="0" applyFill="1" applyBorder="1"/>
    <xf numFmtId="0" fontId="0" fillId="3" borderId="14" xfId="0" applyFill="1" applyBorder="1"/>
    <xf numFmtId="0" fontId="0" fillId="3" borderId="16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3" fillId="3" borderId="16" xfId="0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0" fontId="6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0" fontId="0" fillId="3" borderId="19" xfId="0" applyFill="1" applyBorder="1" applyAlignment="1">
      <alignment wrapText="1"/>
    </xf>
    <xf numFmtId="0" fontId="3" fillId="3" borderId="0" xfId="0" applyFont="1" applyFill="1"/>
    <xf numFmtId="0" fontId="0" fillId="3" borderId="0" xfId="0" applyFont="1" applyFill="1" applyAlignment="1">
      <alignment wrapText="1"/>
    </xf>
    <xf numFmtId="0" fontId="0" fillId="3" borderId="5" xfId="0" applyFill="1" applyBorder="1"/>
    <xf numFmtId="0" fontId="0" fillId="3" borderId="0" xfId="0" applyFont="1" applyFill="1"/>
    <xf numFmtId="0" fontId="0" fillId="3" borderId="5" xfId="0" applyFill="1" applyBorder="1" applyAlignment="1">
      <alignment vertical="top" wrapText="1"/>
    </xf>
    <xf numFmtId="3" fontId="0" fillId="2" borderId="5" xfId="0" applyNumberFormat="1" applyFont="1" applyFill="1" applyBorder="1" applyAlignment="1" applyProtection="1">
      <alignment vertical="top" wrapText="1"/>
      <protection locked="0"/>
    </xf>
    <xf numFmtId="3" fontId="0" fillId="2" borderId="5" xfId="0" applyNumberFormat="1" applyFont="1" applyFill="1" applyBorder="1" applyAlignment="1" applyProtection="1">
      <alignment wrapText="1"/>
      <protection locked="0"/>
    </xf>
    <xf numFmtId="0" fontId="9" fillId="3" borderId="0" xfId="0" applyFont="1" applyFill="1" applyAlignment="1">
      <alignment vertical="top"/>
    </xf>
    <xf numFmtId="0" fontId="9" fillId="3" borderId="0" xfId="0" applyFont="1" applyFill="1"/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wrapText="1"/>
    </xf>
    <xf numFmtId="0" fontId="10" fillId="0" borderId="0" xfId="0" applyFont="1"/>
    <xf numFmtId="4" fontId="10" fillId="0" borderId="20" xfId="0" applyNumberFormat="1" applyFont="1" applyBorder="1"/>
    <xf numFmtId="4" fontId="10" fillId="0" borderId="9" xfId="0" applyNumberFormat="1" applyFont="1" applyBorder="1"/>
    <xf numFmtId="0" fontId="10" fillId="0" borderId="9" xfId="0" applyFont="1" applyBorder="1"/>
    <xf numFmtId="0" fontId="12" fillId="0" borderId="0" xfId="0" applyFont="1"/>
    <xf numFmtId="4" fontId="12" fillId="0" borderId="0" xfId="0" applyNumberFormat="1" applyFont="1"/>
    <xf numFmtId="0" fontId="13" fillId="0" borderId="0" xfId="2" applyFont="1"/>
    <xf numFmtId="4" fontId="13" fillId="0" borderId="0" xfId="2" applyNumberFormat="1" applyFont="1"/>
    <xf numFmtId="0" fontId="4" fillId="3" borderId="5" xfId="0" applyFont="1" applyFill="1" applyBorder="1"/>
    <xf numFmtId="9" fontId="0" fillId="3" borderId="0" xfId="3" applyFont="1" applyFill="1" applyAlignment="1">
      <alignment vertical="top" wrapText="1"/>
    </xf>
    <xf numFmtId="0" fontId="4" fillId="2" borderId="5" xfId="0" applyFont="1" applyFill="1" applyBorder="1" applyProtection="1">
      <protection locked="0"/>
    </xf>
  </cellXfs>
  <cellStyles count="4">
    <cellStyle name="Link" xfId="1" builtinId="8"/>
    <cellStyle name="Prozent" xfId="3" builtinId="5"/>
    <cellStyle name="Standard" xfId="0" builtinId="0"/>
    <cellStyle name="Standard 2" xfId="2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2838450</xdr:colOff>
      <xdr:row>1</xdr:row>
      <xdr:rowOff>76199</xdr:rowOff>
    </xdr:from>
    <xdr:to>
      <xdr:col>3</xdr:col>
      <xdr:colOff>590550</xdr:colOff>
      <xdr:row>4</xdr:row>
      <xdr:rowOff>123824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66699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85726</xdr:rowOff>
    </xdr:from>
    <xdr:to>
      <xdr:col>4</xdr:col>
      <xdr:colOff>495300</xdr:colOff>
      <xdr:row>2</xdr:row>
      <xdr:rowOff>104776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85726"/>
          <a:ext cx="12001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104775</xdr:rowOff>
    </xdr:from>
    <xdr:to>
      <xdr:col>4</xdr:col>
      <xdr:colOff>676275</xdr:colOff>
      <xdr:row>1</xdr:row>
      <xdr:rowOff>123825</xdr:rowOff>
    </xdr:to>
    <xdr:pic>
      <xdr:nvPicPr>
        <xdr:cNvPr id="4" name="Grafik 3" descr="Logo - SLT Steuerberatung und Wirtschaftsprüfu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4775"/>
          <a:ext cx="12001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4</xdr:col>
      <xdr:colOff>504825</xdr:colOff>
      <xdr:row>2</xdr:row>
      <xdr:rowOff>114300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95250"/>
          <a:ext cx="12001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725365</xdr:colOff>
      <xdr:row>1</xdr:row>
      <xdr:rowOff>14654</xdr:rowOff>
    </xdr:from>
    <xdr:to>
      <xdr:col>3</xdr:col>
      <xdr:colOff>714375</xdr:colOff>
      <xdr:row>3</xdr:row>
      <xdr:rowOff>128164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890" y="205154"/>
          <a:ext cx="1484435" cy="49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lt-steuerberatung.a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lt-steuerberatung.a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lt-steuerberatung.a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lt-steuerberatung.a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lt-steuerberatung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9"/>
  <sheetViews>
    <sheetView tabSelected="1" zoomScaleNormal="100" workbookViewId="0">
      <selection activeCell="C13" sqref="C13"/>
    </sheetView>
  </sheetViews>
  <sheetFormatPr baseColWidth="10" defaultColWidth="11.42578125" defaultRowHeight="15" x14ac:dyDescent="0.25"/>
  <cols>
    <col min="1" max="1" width="11.42578125" style="22"/>
    <col min="2" max="2" width="50.140625" style="22" customWidth="1"/>
    <col min="3" max="16384" width="11.42578125" style="22"/>
  </cols>
  <sheetData>
    <row r="3" spans="2:3" x14ac:dyDescent="0.25">
      <c r="B3" s="52" t="s">
        <v>54</v>
      </c>
    </row>
    <row r="4" spans="2:3" x14ac:dyDescent="0.25">
      <c r="B4" s="52" t="s">
        <v>55</v>
      </c>
    </row>
    <row r="6" spans="2:3" x14ac:dyDescent="0.25">
      <c r="B6" s="52" t="s">
        <v>42</v>
      </c>
    </row>
    <row r="7" spans="2:3" ht="30" x14ac:dyDescent="0.25">
      <c r="B7" s="53" t="s">
        <v>51</v>
      </c>
    </row>
    <row r="8" spans="2:3" x14ac:dyDescent="0.25">
      <c r="B8" s="53"/>
    </row>
    <row r="9" spans="2:3" ht="45" x14ac:dyDescent="0.25">
      <c r="B9" s="53" t="s">
        <v>41</v>
      </c>
      <c r="C9"/>
    </row>
    <row r="10" spans="2:3" ht="30" x14ac:dyDescent="0.25">
      <c r="B10" s="53" t="s">
        <v>44</v>
      </c>
    </row>
    <row r="11" spans="2:3" x14ac:dyDescent="0.25">
      <c r="B11" s="53"/>
    </row>
    <row r="12" spans="2:3" x14ac:dyDescent="0.25">
      <c r="B12" s="52" t="s">
        <v>17</v>
      </c>
    </row>
    <row r="13" spans="2:3" x14ac:dyDescent="0.25">
      <c r="B13" s="54" t="s">
        <v>35</v>
      </c>
      <c r="C13" s="57">
        <v>219000</v>
      </c>
    </row>
    <row r="14" spans="2:3" x14ac:dyDescent="0.25">
      <c r="B14" s="60" t="str">
        <f>IF(C13&gt;400000,"! Achtung die Einnahmen sind &gt;400.000 Euro, die Gastropauschalierung ist nicht möglich","")</f>
        <v/>
      </c>
      <c r="C14" s="55"/>
    </row>
    <row r="15" spans="2:3" x14ac:dyDescent="0.25">
      <c r="B15" s="52" t="s">
        <v>18</v>
      </c>
      <c r="C15" s="55"/>
    </row>
    <row r="16" spans="2:3" ht="30" x14ac:dyDescent="0.25">
      <c r="B16" s="56" t="s">
        <v>20</v>
      </c>
      <c r="C16" s="57">
        <v>60000</v>
      </c>
    </row>
    <row r="17" spans="2:3" x14ac:dyDescent="0.25">
      <c r="B17" s="56" t="s">
        <v>16</v>
      </c>
      <c r="C17" s="57">
        <v>50000</v>
      </c>
    </row>
    <row r="18" spans="2:3" x14ac:dyDescent="0.25">
      <c r="B18" s="56" t="s">
        <v>2</v>
      </c>
      <c r="C18" s="57">
        <v>25000</v>
      </c>
    </row>
    <row r="19" spans="2:3" x14ac:dyDescent="0.25">
      <c r="B19" s="56" t="s">
        <v>3</v>
      </c>
      <c r="C19" s="57">
        <v>500</v>
      </c>
    </row>
    <row r="20" spans="2:3" x14ac:dyDescent="0.25">
      <c r="B20" s="56" t="s">
        <v>4</v>
      </c>
      <c r="C20" s="57">
        <v>1000</v>
      </c>
    </row>
    <row r="21" spans="2:3" x14ac:dyDescent="0.25">
      <c r="B21" s="56" t="s">
        <v>36</v>
      </c>
      <c r="C21" s="57">
        <v>6000</v>
      </c>
    </row>
    <row r="22" spans="2:3" x14ac:dyDescent="0.25">
      <c r="B22" s="56" t="s">
        <v>6</v>
      </c>
      <c r="C22" s="57">
        <v>2000</v>
      </c>
    </row>
    <row r="23" spans="2:3" x14ac:dyDescent="0.25">
      <c r="B23" s="56" t="s">
        <v>7</v>
      </c>
      <c r="C23" s="57">
        <v>24000</v>
      </c>
    </row>
    <row r="24" spans="2:3" x14ac:dyDescent="0.25">
      <c r="B24" s="56" t="s">
        <v>8</v>
      </c>
      <c r="C24" s="57">
        <v>2000</v>
      </c>
    </row>
    <row r="25" spans="2:3" x14ac:dyDescent="0.25">
      <c r="B25" s="56" t="s">
        <v>9</v>
      </c>
      <c r="C25" s="57">
        <v>5000</v>
      </c>
    </row>
    <row r="26" spans="2:3" x14ac:dyDescent="0.25">
      <c r="B26" s="56" t="s">
        <v>30</v>
      </c>
      <c r="C26" s="57">
        <v>5000</v>
      </c>
    </row>
    <row r="27" spans="2:3" x14ac:dyDescent="0.25">
      <c r="B27" s="56" t="s">
        <v>40</v>
      </c>
      <c r="C27" s="58">
        <v>0</v>
      </c>
    </row>
    <row r="28" spans="2:3" x14ac:dyDescent="0.25">
      <c r="B28" s="56" t="s">
        <v>38</v>
      </c>
      <c r="C28" s="58">
        <v>8000</v>
      </c>
    </row>
    <row r="29" spans="2:3" ht="45" x14ac:dyDescent="0.25">
      <c r="B29" s="56" t="s">
        <v>39</v>
      </c>
      <c r="C29" s="58">
        <v>2000</v>
      </c>
    </row>
    <row r="30" spans="2:3" ht="45" x14ac:dyDescent="0.25">
      <c r="B30" s="56" t="s">
        <v>37</v>
      </c>
      <c r="C30" s="58">
        <v>9000</v>
      </c>
    </row>
    <row r="31" spans="2:3" x14ac:dyDescent="0.25">
      <c r="B31" s="71" t="s">
        <v>71</v>
      </c>
      <c r="C31" s="73" t="s">
        <v>72</v>
      </c>
    </row>
    <row r="33" spans="2:2" ht="30" x14ac:dyDescent="0.25">
      <c r="B33" s="11" t="s">
        <v>67</v>
      </c>
    </row>
    <row r="35" spans="2:2" x14ac:dyDescent="0.25">
      <c r="B35" s="22" t="s">
        <v>52</v>
      </c>
    </row>
    <row r="36" spans="2:2" x14ac:dyDescent="0.25">
      <c r="B36" s="22" t="s">
        <v>65</v>
      </c>
    </row>
    <row r="37" spans="2:2" x14ac:dyDescent="0.25">
      <c r="B37" s="23" t="s">
        <v>66</v>
      </c>
    </row>
    <row r="38" spans="2:2" x14ac:dyDescent="0.25">
      <c r="B38" s="22" t="s">
        <v>53</v>
      </c>
    </row>
    <row r="39" spans="2:2" x14ac:dyDescent="0.25">
      <c r="B39" s="22" t="s">
        <v>75</v>
      </c>
    </row>
  </sheetData>
  <sheetProtection algorithmName="SHA-512" hashValue="LX2RsAiSsw4V5pwLI46R6+We6XkvnJGLQmZ+QBE8EW5VhIN/njoEajWDOvEE0+8xResBw3I2dZEd/9aZ1MAyng==" saltValue="aQgwRnkJPpteNUoFFnqSkw==" spinCount="100000" sheet="1" objects="1" scenarios="1" selectLockedCells="1"/>
  <dataValidations count="1">
    <dataValidation type="list" allowBlank="1" showInputMessage="1" showErrorMessage="1" sqref="C31">
      <formula1>"unter 5.000, unter 10.000, über 10.000"</formula1>
    </dataValidation>
  </dataValidations>
  <hyperlinks>
    <hyperlink ref="B37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B4" sqref="B4"/>
    </sheetView>
  </sheetViews>
  <sheetFormatPr baseColWidth="10" defaultColWidth="9.140625" defaultRowHeight="15" x14ac:dyDescent="0.25"/>
  <cols>
    <col min="1" max="1" width="5.5703125" style="4" customWidth="1"/>
    <col min="2" max="2" width="49.28515625" style="6" customWidth="1"/>
    <col min="3" max="3" width="9.140625" style="6"/>
    <col min="4" max="4" width="13.42578125" style="6" customWidth="1"/>
    <col min="5" max="16384" width="9.140625" style="6"/>
  </cols>
  <sheetData>
    <row r="1" spans="1:3" x14ac:dyDescent="0.25">
      <c r="B1" s="5" t="s">
        <v>19</v>
      </c>
    </row>
    <row r="2" spans="1:3" x14ac:dyDescent="0.25">
      <c r="B2" s="5"/>
    </row>
    <row r="3" spans="1:3" x14ac:dyDescent="0.25">
      <c r="B3" s="5" t="s">
        <v>17</v>
      </c>
    </row>
    <row r="4" spans="1:3" x14ac:dyDescent="0.25">
      <c r="B4" s="6" t="s">
        <v>0</v>
      </c>
      <c r="C4" s="7">
        <f>Eingabeblatt!C13</f>
        <v>219000</v>
      </c>
    </row>
    <row r="5" spans="1:3" x14ac:dyDescent="0.25">
      <c r="B5" s="59" t="str">
        <f>IF(C4&gt;400000,"!! Achtung die Einnahmen sind &gt;400.000 Euro, die Gastro-Pauschalierung ist nicht möglich.","")</f>
        <v/>
      </c>
      <c r="C5" s="7"/>
    </row>
    <row r="6" spans="1:3" x14ac:dyDescent="0.25">
      <c r="B6" s="5" t="s">
        <v>18</v>
      </c>
      <c r="C6" s="7"/>
    </row>
    <row r="7" spans="1:3" ht="30" x14ac:dyDescent="0.25">
      <c r="A7" s="4" t="s">
        <v>1</v>
      </c>
      <c r="B7" s="6" t="s">
        <v>20</v>
      </c>
      <c r="C7" s="7">
        <f>Eingabeblatt!C16</f>
        <v>60000</v>
      </c>
    </row>
    <row r="8" spans="1:3" x14ac:dyDescent="0.25">
      <c r="A8" s="4" t="s">
        <v>1</v>
      </c>
      <c r="B8" s="6" t="s">
        <v>16</v>
      </c>
      <c r="C8" s="7">
        <f>Eingabeblatt!C17</f>
        <v>50000</v>
      </c>
    </row>
    <row r="9" spans="1:3" x14ac:dyDescent="0.25">
      <c r="A9" s="4" t="s">
        <v>1</v>
      </c>
      <c r="B9" s="6" t="s">
        <v>2</v>
      </c>
      <c r="C9" s="7">
        <f>Eingabeblatt!C18</f>
        <v>25000</v>
      </c>
    </row>
    <row r="10" spans="1:3" x14ac:dyDescent="0.25">
      <c r="A10" s="4" t="s">
        <v>1</v>
      </c>
      <c r="B10" s="6" t="s">
        <v>3</v>
      </c>
      <c r="C10" s="7">
        <f>Eingabeblatt!C19</f>
        <v>500</v>
      </c>
    </row>
    <row r="11" spans="1:3" x14ac:dyDescent="0.25">
      <c r="A11" s="4" t="s">
        <v>1</v>
      </c>
      <c r="B11" s="6" t="s">
        <v>4</v>
      </c>
      <c r="C11" s="7">
        <f>Eingabeblatt!C20</f>
        <v>1000</v>
      </c>
    </row>
    <row r="12" spans="1:3" x14ac:dyDescent="0.25">
      <c r="A12" s="4" t="s">
        <v>1</v>
      </c>
      <c r="B12" s="6" t="s">
        <v>5</v>
      </c>
      <c r="C12" s="7">
        <f>Eingabeblatt!C21</f>
        <v>6000</v>
      </c>
    </row>
    <row r="13" spans="1:3" x14ac:dyDescent="0.25">
      <c r="A13" s="4" t="s">
        <v>1</v>
      </c>
      <c r="B13" s="6" t="s">
        <v>6</v>
      </c>
      <c r="C13" s="7">
        <f>Eingabeblatt!C22</f>
        <v>2000</v>
      </c>
    </row>
    <row r="14" spans="1:3" x14ac:dyDescent="0.25">
      <c r="A14" s="4" t="s">
        <v>1</v>
      </c>
      <c r="B14" s="6" t="s">
        <v>7</v>
      </c>
      <c r="C14" s="7">
        <f>Eingabeblatt!C23</f>
        <v>24000</v>
      </c>
    </row>
    <row r="15" spans="1:3" x14ac:dyDescent="0.25">
      <c r="A15" s="4" t="s">
        <v>1</v>
      </c>
      <c r="B15" s="6" t="s">
        <v>8</v>
      </c>
      <c r="C15" s="7">
        <f>Eingabeblatt!C24</f>
        <v>2000</v>
      </c>
    </row>
    <row r="16" spans="1:3" x14ac:dyDescent="0.25">
      <c r="A16" s="4" t="s">
        <v>1</v>
      </c>
      <c r="B16" s="6" t="s">
        <v>9</v>
      </c>
      <c r="C16" s="7">
        <f>Eingabeblatt!C25</f>
        <v>5000</v>
      </c>
    </row>
    <row r="17" spans="1:4" x14ac:dyDescent="0.25">
      <c r="C17" s="7"/>
    </row>
    <row r="18" spans="1:4" x14ac:dyDescent="0.25">
      <c r="A18" s="4" t="s">
        <v>1</v>
      </c>
      <c r="B18" s="6" t="s">
        <v>70</v>
      </c>
      <c r="C18" s="7">
        <f>MIN(IF(C4&lt;40000,6000,C4*0.15),60000)</f>
        <v>32850</v>
      </c>
    </row>
    <row r="19" spans="1:4" x14ac:dyDescent="0.25">
      <c r="C19" s="7"/>
    </row>
    <row r="20" spans="1:4" x14ac:dyDescent="0.25">
      <c r="B20" s="8" t="s">
        <v>73</v>
      </c>
      <c r="C20" s="7">
        <f>C4*C21</f>
        <v>8760</v>
      </c>
    </row>
    <row r="21" spans="1:4" x14ac:dyDescent="0.25">
      <c r="B21" s="8" t="s">
        <v>74</v>
      </c>
      <c r="C21" s="72">
        <f>IF(Eingabeblatt!C31="unter 5.000",0.06,IF(Eingabeblatt!C31="unter 10.000",0.04,0.02))</f>
        <v>0.04</v>
      </c>
    </row>
    <row r="22" spans="1:4" x14ac:dyDescent="0.25">
      <c r="B22" s="8" t="s">
        <v>10</v>
      </c>
      <c r="C22" s="7"/>
    </row>
    <row r="23" spans="1:4" x14ac:dyDescent="0.25">
      <c r="A23" s="4" t="s">
        <v>1</v>
      </c>
      <c r="B23" s="9" t="s">
        <v>11</v>
      </c>
      <c r="C23" s="10">
        <f>Eingabeblatt!C26</f>
        <v>5000</v>
      </c>
      <c r="D23" s="11"/>
    </row>
    <row r="24" spans="1:4" x14ac:dyDescent="0.25">
      <c r="B24" s="8" t="s">
        <v>28</v>
      </c>
      <c r="C24" s="7">
        <f>MAX(C20,C23)</f>
        <v>8760</v>
      </c>
    </row>
    <row r="25" spans="1:4" x14ac:dyDescent="0.25">
      <c r="B25" s="8"/>
      <c r="C25" s="7"/>
    </row>
    <row r="26" spans="1:4" x14ac:dyDescent="0.25">
      <c r="B26" s="8" t="s">
        <v>12</v>
      </c>
      <c r="C26" s="7">
        <f>C4*0.08</f>
        <v>17520</v>
      </c>
    </row>
    <row r="27" spans="1:4" x14ac:dyDescent="0.25">
      <c r="B27" s="8" t="s">
        <v>10</v>
      </c>
      <c r="C27" s="7"/>
    </row>
    <row r="28" spans="1:4" x14ac:dyDescent="0.25">
      <c r="B28" s="9" t="s">
        <v>33</v>
      </c>
      <c r="C28" s="10">
        <f>Eingabeblatt!C28+Eingabeblatt!C29</f>
        <v>10000</v>
      </c>
      <c r="D28" s="11"/>
    </row>
    <row r="29" spans="1:4" x14ac:dyDescent="0.25">
      <c r="A29" s="4" t="s">
        <v>1</v>
      </c>
      <c r="B29" s="12" t="s">
        <v>27</v>
      </c>
      <c r="C29" s="13">
        <f>MAX(C26,C28)</f>
        <v>17520</v>
      </c>
      <c r="D29" s="11"/>
    </row>
    <row r="30" spans="1:4" ht="15.75" thickBot="1" x14ac:dyDescent="0.3">
      <c r="B30" s="14" t="s">
        <v>24</v>
      </c>
      <c r="C30" s="15">
        <f>SUM(C7:C18)+C24+C29</f>
        <v>234630</v>
      </c>
      <c r="D30" s="11"/>
    </row>
    <row r="31" spans="1:4" x14ac:dyDescent="0.25">
      <c r="A31" s="4" t="s">
        <v>13</v>
      </c>
      <c r="B31" s="16" t="s">
        <v>14</v>
      </c>
      <c r="C31" s="7">
        <f>C4-C30</f>
        <v>-15630</v>
      </c>
    </row>
    <row r="32" spans="1:4" x14ac:dyDescent="0.25">
      <c r="A32" s="4" t="s">
        <v>1</v>
      </c>
      <c r="B32" s="17" t="s">
        <v>25</v>
      </c>
      <c r="C32" s="13">
        <f>IF(C31&lt;=0,0,IF(AND(C31&lt;30000,C31&gt;0),C31*-0.13,30000*-0.13))</f>
        <v>0</v>
      </c>
      <c r="D32" s="11"/>
    </row>
    <row r="33" spans="1:4" ht="15.75" thickBot="1" x14ac:dyDescent="0.3">
      <c r="A33" s="4" t="s">
        <v>13</v>
      </c>
      <c r="B33" s="18" t="s">
        <v>15</v>
      </c>
      <c r="C33" s="19">
        <f>MAX(C31+C32,0)</f>
        <v>0</v>
      </c>
    </row>
    <row r="34" spans="1:4" ht="15.75" thickTop="1" x14ac:dyDescent="0.25">
      <c r="C34" s="7"/>
    </row>
    <row r="35" spans="1:4" x14ac:dyDescent="0.25">
      <c r="B35" s="5" t="s">
        <v>26</v>
      </c>
      <c r="C35" s="20">
        <f>MIN(C37:C39)</f>
        <v>0</v>
      </c>
      <c r="D35" s="21"/>
    </row>
    <row r="36" spans="1:4" hidden="1" x14ac:dyDescent="0.25">
      <c r="B36" s="67" t="s">
        <v>68</v>
      </c>
      <c r="C36" s="68">
        <f>C31+C32</f>
        <v>-15630</v>
      </c>
    </row>
    <row r="37" spans="1:4" hidden="1" x14ac:dyDescent="0.2">
      <c r="B37" s="69" t="s">
        <v>62</v>
      </c>
      <c r="C37" s="70">
        <f>IF(C36&lt;11693,0,IF(C36&lt;=19434,(C36-11693)*0.2,IF(C36&lt;=32075,((C36-19434)*0.3+1488),0)))*-1</f>
        <v>0</v>
      </c>
    </row>
    <row r="38" spans="1:4" hidden="1" x14ac:dyDescent="0.2">
      <c r="B38" s="69" t="s">
        <v>63</v>
      </c>
      <c r="C38" s="70">
        <f>IF(AND(C36&gt;32075,C36&lt;=62080),((C36-32075)*0.41)+5370,IF(AND(C36&gt;62080,C36&lt;=93120),((C36-62080)*0.48)+17672,0))*-1</f>
        <v>0</v>
      </c>
    </row>
    <row r="39" spans="1:4" hidden="1" x14ac:dyDescent="0.2">
      <c r="B39" s="69" t="s">
        <v>64</v>
      </c>
      <c r="C39" s="70">
        <f>IF(AND(C36&gt;93120,C36&lt;=1000000),((C36-93120)*0.5)+32571,IF(C36&gt;1000000,((C36-1000000)*0.55)+486012,0))*-1</f>
        <v>0</v>
      </c>
    </row>
    <row r="40" spans="1:4" x14ac:dyDescent="0.25">
      <c r="C40" s="7"/>
    </row>
    <row r="41" spans="1:4" x14ac:dyDescent="0.25">
      <c r="C41" s="7"/>
    </row>
    <row r="42" spans="1:4" x14ac:dyDescent="0.25">
      <c r="C42" s="7"/>
    </row>
    <row r="43" spans="1:4" x14ac:dyDescent="0.25">
      <c r="B43" s="22" t="s">
        <v>52</v>
      </c>
      <c r="C43" s="7"/>
    </row>
    <row r="44" spans="1:4" x14ac:dyDescent="0.25">
      <c r="B44" s="22" t="s">
        <v>65</v>
      </c>
      <c r="C44" s="7"/>
    </row>
    <row r="45" spans="1:4" x14ac:dyDescent="0.2">
      <c r="B45" s="23" t="s">
        <v>66</v>
      </c>
      <c r="C45" s="7"/>
    </row>
    <row r="46" spans="1:4" x14ac:dyDescent="0.25">
      <c r="B46" s="22" t="s">
        <v>53</v>
      </c>
    </row>
    <row r="47" spans="1:4" x14ac:dyDescent="0.25">
      <c r="B47" s="22" t="s">
        <v>76</v>
      </c>
    </row>
  </sheetData>
  <sheetProtection algorithmName="SHA-512" hashValue="ZUfkeDbGVEal6EtEN2yaLAjYEVtEhZeemHlgKpqkvOKSeIs4v1FXCD7jzLnLrGgnrOgi6ag7faXagS1RHL1y4Q==" saltValue="atWvhPbicCFBWDuTSCGypQ==" spinCount="100000" sheet="1" objects="1" scenarios="1" selectLockedCells="1" selectUnlockedCells="1"/>
  <hyperlinks>
    <hyperlink ref="B45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A29" sqref="A29:XFD32"/>
    </sheetView>
  </sheetViews>
  <sheetFormatPr baseColWidth="10" defaultColWidth="9.140625" defaultRowHeight="15" x14ac:dyDescent="0.25"/>
  <cols>
    <col min="1" max="1" width="4" style="6" customWidth="1"/>
    <col min="2" max="2" width="49.7109375" style="6" customWidth="1"/>
    <col min="3" max="3" width="9.42578125" style="6" bestFit="1" customWidth="1"/>
    <col min="4" max="4" width="9.140625" style="6"/>
    <col min="5" max="5" width="13.140625" style="6" customWidth="1"/>
    <col min="6" max="16384" width="9.140625" style="6"/>
  </cols>
  <sheetData>
    <row r="1" spans="1:3" ht="30" x14ac:dyDescent="0.25">
      <c r="B1" s="5" t="s">
        <v>34</v>
      </c>
    </row>
    <row r="2" spans="1:3" x14ac:dyDescent="0.25">
      <c r="B2" s="5"/>
    </row>
    <row r="3" spans="1:3" x14ac:dyDescent="0.25">
      <c r="A3" s="4"/>
      <c r="B3" s="5" t="s">
        <v>17</v>
      </c>
    </row>
    <row r="4" spans="1:3" x14ac:dyDescent="0.25">
      <c r="A4" s="4"/>
      <c r="B4" s="6" t="s">
        <v>0</v>
      </c>
      <c r="C4" s="7">
        <f>Eingabeblatt!C13</f>
        <v>219000</v>
      </c>
    </row>
    <row r="5" spans="1:3" x14ac:dyDescent="0.25">
      <c r="A5" s="4"/>
      <c r="B5" s="61" t="str">
        <f>IF(C4&gt;220000,"!! Achtung die Einnahmen sind &gt;220.000 Euro, die Betriebsausgabenpauschalierung ist nicht möglich.","")</f>
        <v/>
      </c>
      <c r="C5" s="7"/>
    </row>
    <row r="6" spans="1:3" x14ac:dyDescent="0.25">
      <c r="A6" s="4"/>
      <c r="B6" s="5" t="s">
        <v>18</v>
      </c>
      <c r="C6" s="7"/>
    </row>
    <row r="7" spans="1:3" ht="30" x14ac:dyDescent="0.25">
      <c r="A7" s="4" t="s">
        <v>1</v>
      </c>
      <c r="B7" s="6" t="s">
        <v>20</v>
      </c>
      <c r="C7" s="7">
        <f>Eingabeblatt!C16</f>
        <v>60000</v>
      </c>
    </row>
    <row r="8" spans="1:3" x14ac:dyDescent="0.25">
      <c r="A8" s="4" t="s">
        <v>1</v>
      </c>
      <c r="B8" s="6" t="s">
        <v>16</v>
      </c>
      <c r="C8" s="7">
        <f>Eingabeblatt!C17</f>
        <v>50000</v>
      </c>
    </row>
    <row r="9" spans="1:3" x14ac:dyDescent="0.25">
      <c r="A9" s="4" t="s">
        <v>1</v>
      </c>
      <c r="B9" s="6" t="s">
        <v>2</v>
      </c>
      <c r="C9" s="7">
        <f>Eingabeblatt!C18</f>
        <v>25000</v>
      </c>
    </row>
    <row r="10" spans="1:3" x14ac:dyDescent="0.25">
      <c r="A10" s="4" t="s">
        <v>1</v>
      </c>
      <c r="B10" s="6" t="s">
        <v>3</v>
      </c>
      <c r="C10" s="7">
        <f>Eingabeblatt!C19</f>
        <v>500</v>
      </c>
    </row>
    <row r="11" spans="1:3" x14ac:dyDescent="0.25">
      <c r="A11" s="4" t="s">
        <v>1</v>
      </c>
      <c r="B11" s="6" t="s">
        <v>4</v>
      </c>
      <c r="C11" s="24" t="s">
        <v>43</v>
      </c>
    </row>
    <row r="12" spans="1:3" x14ac:dyDescent="0.25">
      <c r="A12" s="4" t="s">
        <v>1</v>
      </c>
      <c r="B12" s="6" t="s">
        <v>5</v>
      </c>
      <c r="C12" s="24" t="s">
        <v>43</v>
      </c>
    </row>
    <row r="13" spans="1:3" x14ac:dyDescent="0.25">
      <c r="A13" s="4" t="s">
        <v>1</v>
      </c>
      <c r="B13" s="6" t="s">
        <v>6</v>
      </c>
      <c r="C13" s="24" t="s">
        <v>43</v>
      </c>
    </row>
    <row r="14" spans="1:3" x14ac:dyDescent="0.25">
      <c r="A14" s="4" t="s">
        <v>1</v>
      </c>
      <c r="B14" s="6" t="s">
        <v>7</v>
      </c>
      <c r="C14" s="24" t="s">
        <v>43</v>
      </c>
    </row>
    <row r="15" spans="1:3" x14ac:dyDescent="0.25">
      <c r="A15" s="4" t="s">
        <v>1</v>
      </c>
      <c r="B15" s="6" t="s">
        <v>8</v>
      </c>
      <c r="C15" s="24" t="s">
        <v>43</v>
      </c>
    </row>
    <row r="16" spans="1:3" x14ac:dyDescent="0.25">
      <c r="A16" s="4" t="s">
        <v>1</v>
      </c>
      <c r="B16" s="6" t="s">
        <v>9</v>
      </c>
      <c r="C16" s="7">
        <f>Eingabeblatt!C25</f>
        <v>5000</v>
      </c>
    </row>
    <row r="17" spans="1:3" x14ac:dyDescent="0.25">
      <c r="A17" s="4"/>
      <c r="C17" s="7"/>
    </row>
    <row r="18" spans="1:3" x14ac:dyDescent="0.25">
      <c r="A18" s="4" t="s">
        <v>1</v>
      </c>
      <c r="B18" s="6" t="s">
        <v>22</v>
      </c>
      <c r="C18" s="7"/>
    </row>
    <row r="19" spans="1:3" x14ac:dyDescent="0.25">
      <c r="B19" s="25" t="s">
        <v>10</v>
      </c>
      <c r="C19" s="7"/>
    </row>
    <row r="20" spans="1:3" x14ac:dyDescent="0.25">
      <c r="A20" s="4" t="s">
        <v>1</v>
      </c>
      <c r="B20" s="6" t="s">
        <v>21</v>
      </c>
      <c r="C20" s="7">
        <f>C4*0.12</f>
        <v>26280</v>
      </c>
    </row>
    <row r="21" spans="1:3" x14ac:dyDescent="0.25">
      <c r="A21" s="4"/>
      <c r="B21" s="8" t="s">
        <v>23</v>
      </c>
      <c r="C21" s="7"/>
    </row>
    <row r="22" spans="1:3" x14ac:dyDescent="0.25">
      <c r="A22" s="4"/>
      <c r="B22" s="12"/>
      <c r="C22" s="13"/>
    </row>
    <row r="23" spans="1:3" x14ac:dyDescent="0.25">
      <c r="A23" s="4"/>
      <c r="B23" s="26" t="s">
        <v>24</v>
      </c>
      <c r="C23" s="27">
        <f>SUM(C7:C22)</f>
        <v>166780</v>
      </c>
    </row>
    <row r="24" spans="1:3" ht="15.75" thickBot="1" x14ac:dyDescent="0.3">
      <c r="A24" s="4" t="s">
        <v>13</v>
      </c>
      <c r="B24" s="28" t="s">
        <v>14</v>
      </c>
      <c r="C24" s="29">
        <f>C4-C23</f>
        <v>52220</v>
      </c>
    </row>
    <row r="25" spans="1:3" x14ac:dyDescent="0.25">
      <c r="A25" s="4" t="s">
        <v>1</v>
      </c>
      <c r="B25" s="17" t="s">
        <v>25</v>
      </c>
      <c r="C25" s="13">
        <f>IF(C24&lt;=0,0,IF(AND(C24&lt;30000,C24&gt;0),C24*-0.13,30000*-0.13))</f>
        <v>-3900</v>
      </c>
    </row>
    <row r="26" spans="1:3" ht="15.75" thickBot="1" x14ac:dyDescent="0.3">
      <c r="A26" s="4" t="s">
        <v>13</v>
      </c>
      <c r="B26" s="18" t="s">
        <v>15</v>
      </c>
      <c r="C26" s="19">
        <f>C24+C25</f>
        <v>48320</v>
      </c>
    </row>
    <row r="27" spans="1:3" ht="15.75" thickTop="1" x14ac:dyDescent="0.25">
      <c r="C27" s="7"/>
    </row>
    <row r="28" spans="1:3" x14ac:dyDescent="0.25">
      <c r="B28" s="5" t="s">
        <v>26</v>
      </c>
      <c r="C28" s="20">
        <f>MIN(C30:C32)</f>
        <v>-12030.45</v>
      </c>
    </row>
    <row r="29" spans="1:3" hidden="1" x14ac:dyDescent="0.25">
      <c r="B29" s="67" t="s">
        <v>68</v>
      </c>
      <c r="C29" s="68">
        <f>C24+C25</f>
        <v>48320</v>
      </c>
    </row>
    <row r="30" spans="1:3" hidden="1" x14ac:dyDescent="0.2">
      <c r="B30" s="69" t="s">
        <v>62</v>
      </c>
      <c r="C30" s="70">
        <f>IF(C29&lt;11693,0,IF(C29&lt;=19434,(C29-11693)*0.2,IF(C29&lt;=32075,((C29-19434)*0.3+1488),0)))*-1</f>
        <v>0</v>
      </c>
    </row>
    <row r="31" spans="1:3" hidden="1" x14ac:dyDescent="0.2">
      <c r="B31" s="69" t="s">
        <v>63</v>
      </c>
      <c r="C31" s="70">
        <f>IF(AND(C29&gt;32075,C29&lt;=62080),((C29-32075)*0.41)+5370,IF(AND(C29&gt;62080,C29&lt;=93120),((C29-62080)*0.48)+17672,0))*-1</f>
        <v>-12030.45</v>
      </c>
    </row>
    <row r="32" spans="1:3" hidden="1" x14ac:dyDescent="0.2">
      <c r="B32" s="69" t="s">
        <v>64</v>
      </c>
      <c r="C32" s="70">
        <f>IF(AND(C29&gt;93120,C29&lt;=1000000),((C29-93120)*0.5)+32571,IF(C29&gt;1000000,((C29-1000000)*0.55)+486012,0))*-1</f>
        <v>0</v>
      </c>
    </row>
    <row r="33" spans="2:3" x14ac:dyDescent="0.25">
      <c r="C33" s="7"/>
    </row>
    <row r="41" spans="2:3" x14ac:dyDescent="0.25">
      <c r="B41" s="22" t="s">
        <v>52</v>
      </c>
    </row>
    <row r="42" spans="2:3" x14ac:dyDescent="0.25">
      <c r="B42" s="22" t="s">
        <v>65</v>
      </c>
    </row>
    <row r="43" spans="2:3" x14ac:dyDescent="0.2">
      <c r="B43" s="23" t="s">
        <v>66</v>
      </c>
    </row>
    <row r="44" spans="2:3" x14ac:dyDescent="0.25">
      <c r="B44" s="22" t="s">
        <v>53</v>
      </c>
    </row>
    <row r="45" spans="2:3" x14ac:dyDescent="0.25">
      <c r="B45" s="22" t="s">
        <v>76</v>
      </c>
    </row>
  </sheetData>
  <sheetProtection algorithmName="SHA-512" hashValue="os7mXYrszrzpY2LVRURqzB6Rcf2h377nrNrQvxRJaYG7syyBBhbM8NR92EVnNiVVO03g2rHT4JgjXBEcUPSniw==" saltValue="lDJUWxnjCxb1iyJexogngA==" spinCount="100000" sheet="1" objects="1" scenarios="1" selectLockedCells="1" selectUnlockedCells="1"/>
  <hyperlinks>
    <hyperlink ref="B43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B5" sqref="B5"/>
    </sheetView>
  </sheetViews>
  <sheetFormatPr baseColWidth="10" defaultColWidth="9.140625" defaultRowHeight="15" x14ac:dyDescent="0.25"/>
  <cols>
    <col min="1" max="1" width="5" style="4" customWidth="1"/>
    <col min="2" max="2" width="49.28515625" style="6" customWidth="1"/>
    <col min="3" max="3" width="9.140625" style="6"/>
    <col min="4" max="4" width="13.42578125" style="6" customWidth="1"/>
    <col min="5" max="5" width="8.140625" style="6" customWidth="1"/>
    <col min="6" max="6" width="56" style="6" customWidth="1"/>
    <col min="7" max="16384" width="9.140625" style="6"/>
  </cols>
  <sheetData>
    <row r="1" spans="1:3" x14ac:dyDescent="0.25">
      <c r="B1" s="5" t="s">
        <v>29</v>
      </c>
      <c r="C1" s="7"/>
    </row>
    <row r="2" spans="1:3" x14ac:dyDescent="0.25">
      <c r="C2" s="7"/>
    </row>
    <row r="3" spans="1:3" x14ac:dyDescent="0.25">
      <c r="B3" s="5" t="s">
        <v>17</v>
      </c>
      <c r="C3" s="7"/>
    </row>
    <row r="4" spans="1:3" x14ac:dyDescent="0.25">
      <c r="B4" s="6" t="s">
        <v>0</v>
      </c>
      <c r="C4" s="7">
        <f>Eingabeblatt!C13</f>
        <v>219000</v>
      </c>
    </row>
    <row r="5" spans="1:3" x14ac:dyDescent="0.25">
      <c r="C5" s="7"/>
    </row>
    <row r="6" spans="1:3" x14ac:dyDescent="0.25">
      <c r="B6" s="5" t="s">
        <v>18</v>
      </c>
      <c r="C6" s="7"/>
    </row>
    <row r="7" spans="1:3" ht="30" x14ac:dyDescent="0.25">
      <c r="A7" s="4" t="s">
        <v>1</v>
      </c>
      <c r="B7" s="6" t="s">
        <v>20</v>
      </c>
      <c r="C7" s="7">
        <f>Eingabeblatt!C16</f>
        <v>60000</v>
      </c>
    </row>
    <row r="8" spans="1:3" x14ac:dyDescent="0.25">
      <c r="A8" s="4" t="s">
        <v>1</v>
      </c>
      <c r="B8" s="6" t="s">
        <v>16</v>
      </c>
      <c r="C8" s="7">
        <f>Eingabeblatt!C17</f>
        <v>50000</v>
      </c>
    </row>
    <row r="9" spans="1:3" x14ac:dyDescent="0.25">
      <c r="A9" s="4" t="s">
        <v>1</v>
      </c>
      <c r="B9" s="6" t="s">
        <v>2</v>
      </c>
      <c r="C9" s="7">
        <f>Eingabeblatt!C18</f>
        <v>25000</v>
      </c>
    </row>
    <row r="10" spans="1:3" x14ac:dyDescent="0.25">
      <c r="A10" s="4" t="s">
        <v>1</v>
      </c>
      <c r="B10" s="6" t="s">
        <v>3</v>
      </c>
      <c r="C10" s="7">
        <f>Eingabeblatt!C19</f>
        <v>500</v>
      </c>
    </row>
    <row r="11" spans="1:3" x14ac:dyDescent="0.25">
      <c r="A11" s="4" t="s">
        <v>1</v>
      </c>
      <c r="B11" s="6" t="s">
        <v>4</v>
      </c>
      <c r="C11" s="7">
        <f>Eingabeblatt!C20</f>
        <v>1000</v>
      </c>
    </row>
    <row r="12" spans="1:3" x14ac:dyDescent="0.25">
      <c r="A12" s="4" t="s">
        <v>1</v>
      </c>
      <c r="B12" s="6" t="s">
        <v>5</v>
      </c>
      <c r="C12" s="7">
        <f>Eingabeblatt!C21</f>
        <v>6000</v>
      </c>
    </row>
    <row r="13" spans="1:3" x14ac:dyDescent="0.25">
      <c r="A13" s="4" t="s">
        <v>1</v>
      </c>
      <c r="B13" s="6" t="s">
        <v>6</v>
      </c>
      <c r="C13" s="7">
        <f>Eingabeblatt!C22</f>
        <v>2000</v>
      </c>
    </row>
    <row r="14" spans="1:3" x14ac:dyDescent="0.25">
      <c r="A14" s="4" t="s">
        <v>1</v>
      </c>
      <c r="B14" s="6" t="s">
        <v>7</v>
      </c>
      <c r="C14" s="7">
        <f>Eingabeblatt!C23</f>
        <v>24000</v>
      </c>
    </row>
    <row r="15" spans="1:3" x14ac:dyDescent="0.25">
      <c r="A15" s="4" t="s">
        <v>1</v>
      </c>
      <c r="B15" s="6" t="s">
        <v>8</v>
      </c>
      <c r="C15" s="7">
        <f>Eingabeblatt!C24</f>
        <v>2000</v>
      </c>
    </row>
    <row r="16" spans="1:3" x14ac:dyDescent="0.25">
      <c r="A16" s="4" t="s">
        <v>1</v>
      </c>
      <c r="B16" s="6" t="s">
        <v>9</v>
      </c>
      <c r="C16" s="7">
        <f>Eingabeblatt!C25</f>
        <v>5000</v>
      </c>
    </row>
    <row r="17" spans="1:4" x14ac:dyDescent="0.25">
      <c r="A17" s="4" t="s">
        <v>1</v>
      </c>
      <c r="B17" s="6" t="s">
        <v>30</v>
      </c>
      <c r="C17" s="7">
        <f>Eingabeblatt!C26</f>
        <v>5000</v>
      </c>
    </row>
    <row r="18" spans="1:4" ht="30" x14ac:dyDescent="0.25">
      <c r="A18" s="30"/>
      <c r="B18" s="11" t="s">
        <v>31</v>
      </c>
      <c r="C18" s="27">
        <f>Eingabeblatt!C28+Eingabeblatt!C29</f>
        <v>10000</v>
      </c>
    </row>
    <row r="19" spans="1:4" ht="45" x14ac:dyDescent="0.25">
      <c r="A19" s="30"/>
      <c r="B19" s="11" t="s">
        <v>32</v>
      </c>
      <c r="C19" s="27">
        <f>Eingabeblatt!C30</f>
        <v>9000</v>
      </c>
    </row>
    <row r="20" spans="1:4" x14ac:dyDescent="0.25">
      <c r="A20" s="30"/>
      <c r="B20" s="26"/>
      <c r="C20" s="27"/>
    </row>
    <row r="21" spans="1:4" x14ac:dyDescent="0.25">
      <c r="A21" s="30"/>
      <c r="B21" s="12"/>
      <c r="C21" s="13"/>
      <c r="D21" s="11"/>
    </row>
    <row r="22" spans="1:4" x14ac:dyDescent="0.25">
      <c r="B22" s="31" t="s">
        <v>24</v>
      </c>
      <c r="C22" s="32">
        <f>SUM(C7:C21)</f>
        <v>199500</v>
      </c>
      <c r="D22" s="11"/>
    </row>
    <row r="23" spans="1:4" ht="15.75" thickBot="1" x14ac:dyDescent="0.3">
      <c r="A23" s="4" t="s">
        <v>13</v>
      </c>
      <c r="B23" s="33" t="s">
        <v>14</v>
      </c>
      <c r="C23" s="15">
        <f>C4-C22</f>
        <v>19500</v>
      </c>
    </row>
    <row r="24" spans="1:4" x14ac:dyDescent="0.25">
      <c r="A24" s="4" t="s">
        <v>1</v>
      </c>
      <c r="B24" s="17" t="s">
        <v>25</v>
      </c>
      <c r="C24" s="13">
        <f>IF(C23&lt;=0,0,IF(AND(C23&lt;30000,C23&gt;0),C23*-0.13,30000*-0.13))</f>
        <v>-2535</v>
      </c>
      <c r="D24" s="11"/>
    </row>
    <row r="25" spans="1:4" ht="15.75" thickBot="1" x14ac:dyDescent="0.3">
      <c r="A25" s="4" t="s">
        <v>13</v>
      </c>
      <c r="B25" s="18" t="s">
        <v>15</v>
      </c>
      <c r="C25" s="19">
        <f>C23+C24</f>
        <v>16965</v>
      </c>
    </row>
    <row r="26" spans="1:4" ht="15.75" thickTop="1" x14ac:dyDescent="0.25">
      <c r="C26" s="7"/>
    </row>
    <row r="27" spans="1:4" x14ac:dyDescent="0.25">
      <c r="B27" s="5" t="s">
        <v>26</v>
      </c>
      <c r="C27" s="20">
        <f>MIN(C29:C31)</f>
        <v>-1054.4000000000001</v>
      </c>
      <c r="D27" s="21"/>
    </row>
    <row r="28" spans="1:4" hidden="1" x14ac:dyDescent="0.25">
      <c r="B28" s="67" t="s">
        <v>68</v>
      </c>
      <c r="C28" s="68">
        <f>C23+C24</f>
        <v>16965</v>
      </c>
    </row>
    <row r="29" spans="1:4" hidden="1" x14ac:dyDescent="0.2">
      <c r="B29" s="69" t="s">
        <v>62</v>
      </c>
      <c r="C29" s="70">
        <f>IF(C28&lt;11693,0,IF(C28&lt;=19434,(C28-11693)*0.2,IF(C28&lt;=32075,((C28-19434)*0.3+1488),0)))*-1</f>
        <v>-1054.4000000000001</v>
      </c>
    </row>
    <row r="30" spans="1:4" hidden="1" x14ac:dyDescent="0.2">
      <c r="B30" s="69" t="s">
        <v>63</v>
      </c>
      <c r="C30" s="70">
        <f>IF(AND(C28&gt;32075,C28&lt;=62080),((C28-32075)*0.41)+5370,IF(AND(C28&gt;62080,C28&lt;=93120),((C28-62080)*0.48)+17672,0))*-1</f>
        <v>0</v>
      </c>
    </row>
    <row r="31" spans="1:4" hidden="1" x14ac:dyDescent="0.2">
      <c r="B31" s="69" t="s">
        <v>64</v>
      </c>
      <c r="C31" s="70">
        <f>IF(AND(C28&gt;93120,C28&lt;=1000000),((C28-93120)*0.5)+32571,IF(C28&gt;1000000,((C28-1000000)*0.55)+486012,0))*-1</f>
        <v>0</v>
      </c>
    </row>
    <row r="32" spans="1:4" x14ac:dyDescent="0.25">
      <c r="C32" s="7"/>
    </row>
    <row r="33" spans="2:3" x14ac:dyDescent="0.25">
      <c r="C33" s="7"/>
    </row>
    <row r="34" spans="2:3" x14ac:dyDescent="0.25">
      <c r="C34" s="7"/>
    </row>
    <row r="35" spans="2:3" x14ac:dyDescent="0.25">
      <c r="C35" s="7"/>
    </row>
    <row r="36" spans="2:3" x14ac:dyDescent="0.25">
      <c r="C36" s="7"/>
    </row>
    <row r="37" spans="2:3" x14ac:dyDescent="0.25">
      <c r="C37" s="7"/>
    </row>
    <row r="40" spans="2:3" x14ac:dyDescent="0.25">
      <c r="B40" s="22" t="s">
        <v>52</v>
      </c>
    </row>
    <row r="41" spans="2:3" x14ac:dyDescent="0.25">
      <c r="B41" s="22" t="s">
        <v>65</v>
      </c>
    </row>
    <row r="42" spans="2:3" x14ac:dyDescent="0.2">
      <c r="B42" s="23" t="s">
        <v>66</v>
      </c>
    </row>
    <row r="43" spans="2:3" x14ac:dyDescent="0.25">
      <c r="B43" s="22" t="s">
        <v>53</v>
      </c>
    </row>
    <row r="44" spans="2:3" x14ac:dyDescent="0.25">
      <c r="B44" s="22" t="s">
        <v>76</v>
      </c>
    </row>
  </sheetData>
  <sheetProtection algorithmName="SHA-512" hashValue="NvOkejy5gxEp6P9Tva3JiGyZkGyCm7FC/8mZXJLlkThTeMxzCuAVl1bNzfJXdK3D0dBDGh0aXFnzdP7F2WjbZg==" saltValue="fkXzUl0ZscPJJZyxHm1JWQ==" spinCount="100000" sheet="1" objects="1" scenarios="1" selectLockedCells="1" selectUnlockedCells="1"/>
  <hyperlinks>
    <hyperlink ref="B42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7"/>
  <sheetViews>
    <sheetView zoomScaleNormal="100" workbookViewId="0">
      <selection activeCell="B7" sqref="B7"/>
    </sheetView>
  </sheetViews>
  <sheetFormatPr baseColWidth="10" defaultColWidth="11.42578125" defaultRowHeight="15" x14ac:dyDescent="0.25"/>
  <cols>
    <col min="1" max="1" width="3.42578125" style="22" customWidth="1"/>
    <col min="2" max="2" width="19.5703125" style="22" customWidth="1"/>
    <col min="3" max="3" width="22.42578125" style="22" customWidth="1"/>
    <col min="4" max="4" width="21" style="22" customWidth="1"/>
    <col min="5" max="5" width="16.85546875" style="22" customWidth="1"/>
    <col min="6" max="16384" width="11.42578125" style="22"/>
  </cols>
  <sheetData>
    <row r="6" spans="2:5" ht="60" x14ac:dyDescent="0.25">
      <c r="B6" s="44"/>
      <c r="C6" s="41" t="s">
        <v>45</v>
      </c>
      <c r="D6" s="42" t="s">
        <v>46</v>
      </c>
      <c r="E6" s="42" t="s">
        <v>29</v>
      </c>
    </row>
    <row r="7" spans="2:5" x14ac:dyDescent="0.25">
      <c r="B7" s="45" t="s">
        <v>47</v>
      </c>
      <c r="C7" s="34">
        <f>Eingabeblatt!C13</f>
        <v>219000</v>
      </c>
      <c r="D7" s="34">
        <f>Eingabeblatt!C13</f>
        <v>219000</v>
      </c>
      <c r="E7" s="34">
        <f>Eingabeblatt!C13</f>
        <v>219000</v>
      </c>
    </row>
    <row r="8" spans="2:5" x14ac:dyDescent="0.25">
      <c r="B8" s="45"/>
      <c r="C8" s="35"/>
      <c r="D8" s="35"/>
      <c r="E8" s="35"/>
    </row>
    <row r="9" spans="2:5" ht="30" x14ac:dyDescent="0.25">
      <c r="B9" s="46" t="s">
        <v>48</v>
      </c>
      <c r="C9" s="36">
        <f>Gastgewerbepauschale!C30*-1</f>
        <v>-234630</v>
      </c>
      <c r="D9" s="36">
        <f>Betriebsausgabenpauschale!C23*-1</f>
        <v>-166780</v>
      </c>
      <c r="E9" s="36">
        <f>'E-A-R'!C22*-1</f>
        <v>-199500</v>
      </c>
    </row>
    <row r="10" spans="2:5" x14ac:dyDescent="0.25">
      <c r="B10" s="47" t="s">
        <v>14</v>
      </c>
      <c r="C10" s="37">
        <f>C7+C9</f>
        <v>-15630</v>
      </c>
      <c r="D10" s="37">
        <f>D7+D9</f>
        <v>52220</v>
      </c>
      <c r="E10" s="37">
        <f>E7+E9</f>
        <v>19500</v>
      </c>
    </row>
    <row r="11" spans="2:5" ht="30" x14ac:dyDescent="0.25">
      <c r="B11" s="45" t="s">
        <v>58</v>
      </c>
      <c r="C11" s="34">
        <f>Gastgewerbepauschale!C32</f>
        <v>0</v>
      </c>
      <c r="D11" s="34">
        <f>Betriebsausgabenpauschale!C25</f>
        <v>-3900</v>
      </c>
      <c r="E11" s="34">
        <f>'E-A-R'!C24</f>
        <v>-2535</v>
      </c>
    </row>
    <row r="12" spans="2:5" ht="33.75" customHeight="1" thickBot="1" x14ac:dyDescent="0.3">
      <c r="B12" s="48" t="s">
        <v>15</v>
      </c>
      <c r="C12" s="38">
        <f>C10+C11</f>
        <v>-15630</v>
      </c>
      <c r="D12" s="38">
        <f>D10+D11</f>
        <v>48320</v>
      </c>
      <c r="E12" s="38">
        <f>E10+E11</f>
        <v>16965</v>
      </c>
    </row>
    <row r="13" spans="2:5" ht="18.95" hidden="1" customHeight="1" thickTop="1" x14ac:dyDescent="0.25">
      <c r="B13" s="63" t="s">
        <v>62</v>
      </c>
      <c r="C13" s="64">
        <f>IF(C12&lt;11693,0,IF(C12&lt;=19434,(C12-11693)*0.2,IF(C12&lt;=32075,((C12-19434)*0.3+1488),0)))*-1</f>
        <v>0</v>
      </c>
      <c r="D13" s="64">
        <f>IF(D12&lt;11693,0,IF(D12&lt;=19434,(D12-11693)*0.2,IF(D12&lt;=32075,((D12-19434)*0.3+1488),0)))*-1</f>
        <v>0</v>
      </c>
      <c r="E13" s="64">
        <f>IF(E12&lt;11693,0,IF(E12&lt;=19434,(E12-11693)*0.2,IF(E12&lt;=32075,((E12-19434)*0.3+1488),0)))*-1</f>
        <v>-1054.4000000000001</v>
      </c>
    </row>
    <row r="14" spans="2:5" ht="18.95" hidden="1" customHeight="1" x14ac:dyDescent="0.25">
      <c r="B14" s="63" t="s">
        <v>63</v>
      </c>
      <c r="C14" s="65">
        <f>IF(AND(C12&gt;32075,C12&lt;=62080),((C12-32075)*0.41)+5370,IF(AND(C12&gt;62080,C12&lt;=93120),((C12-62080)*0.48)+17672,0))*-1</f>
        <v>0</v>
      </c>
      <c r="D14" s="65">
        <f>IF(AND(D12&gt;32075,D12&lt;=62080),((D12-32075)*0.41)+5370,IF(AND(D12&gt;62080,D12&lt;=93120),((D12-62080)*0.48)+17672,0))*-1</f>
        <v>-12030.45</v>
      </c>
      <c r="E14" s="65">
        <f>IF(AND(E12&gt;32075,E12&lt;=62080),((E12-32075)*0.41)+5370,IF(AND(E12&gt;62080,E12&lt;=93120),((E12-62080)*0.48)+17672,0))*-1</f>
        <v>0</v>
      </c>
    </row>
    <row r="15" spans="2:5" ht="18.95" hidden="1" customHeight="1" x14ac:dyDescent="0.25">
      <c r="B15" s="63" t="s">
        <v>64</v>
      </c>
      <c r="C15" s="65">
        <f>IF(AND(C12&gt;93120,C12&lt;=1000000),((C12-93120)*0.5)+32571,IF(C12&gt;1000000,((C12-1000000)*0.55)+486012,0))*-1</f>
        <v>0</v>
      </c>
      <c r="D15" s="65">
        <f>IF(AND(D12&gt;93120,D12&lt;=1000000),((D12-93120)*0.5)+32571,IF(D12&gt;1000000,((D12-1000000)*0.55)+486012,0))*-1</f>
        <v>0</v>
      </c>
      <c r="E15" s="65">
        <f>IF(AND(E12&gt;93120,E12&lt;=1000000),((E12-93120)*0.5)+32571,IF(E12&gt;1000000,((E12-1000000)*0.55)+486012,0))*-1</f>
        <v>0</v>
      </c>
    </row>
    <row r="16" spans="2:5" ht="12.75" customHeight="1" thickTop="1" x14ac:dyDescent="0.25">
      <c r="B16" s="66"/>
      <c r="C16" s="65"/>
      <c r="D16" s="65"/>
      <c r="E16" s="65"/>
    </row>
    <row r="17" spans="2:5" ht="18" customHeight="1" x14ac:dyDescent="0.25">
      <c r="B17" s="49" t="s">
        <v>26</v>
      </c>
      <c r="C17" s="39">
        <f>MIN(C13:C15)</f>
        <v>0</v>
      </c>
      <c r="D17" s="39">
        <f>MIN(D13:D15)</f>
        <v>-12030.45</v>
      </c>
      <c r="E17" s="39">
        <f>MIN(E13:E15)</f>
        <v>-1054.4000000000001</v>
      </c>
    </row>
    <row r="18" spans="2:5" x14ac:dyDescent="0.25">
      <c r="B18" s="50"/>
      <c r="C18" s="40"/>
      <c r="D18" s="40"/>
      <c r="E18" s="40"/>
    </row>
    <row r="19" spans="2:5" ht="60" x14ac:dyDescent="0.25">
      <c r="B19" s="49" t="s">
        <v>49</v>
      </c>
      <c r="C19" s="39">
        <f>IF(C10&gt;6011,MIN(20720,((C10+Eingabeblatt!$C$25)*0.85)*-0.253+131.64),-1520)</f>
        <v>-1520</v>
      </c>
      <c r="D19" s="39">
        <f>IF(D10&gt;6011,MIN(20720,((D10+Eingabeblatt!$C$25)*0.85)*-0.253+131.64),-1520)</f>
        <v>-12173.521000000001</v>
      </c>
      <c r="E19" s="39">
        <f>IF(E10&gt;6011,MIN(20720,((E10+Eingabeblatt!$C$25)*0.85)*-0.253+131.64),-1520)</f>
        <v>-5137.085</v>
      </c>
    </row>
    <row r="20" spans="2:5" ht="15.75" thickBot="1" x14ac:dyDescent="0.3">
      <c r="B20" s="51"/>
      <c r="C20" s="43"/>
      <c r="D20" s="43"/>
      <c r="E20" s="43"/>
    </row>
    <row r="21" spans="2:5" ht="60.75" thickBot="1" x14ac:dyDescent="0.3">
      <c r="B21" s="1" t="s">
        <v>50</v>
      </c>
      <c r="C21" s="2">
        <f>C17+C19</f>
        <v>-1520</v>
      </c>
      <c r="D21" s="2">
        <f t="shared" ref="D21:E21" si="0">D17+D19</f>
        <v>-24203.971000000001</v>
      </c>
      <c r="E21" s="3">
        <f t="shared" si="0"/>
        <v>-6191.4850000000006</v>
      </c>
    </row>
    <row r="22" spans="2:5" ht="47.25" customHeight="1" x14ac:dyDescent="0.25">
      <c r="C22" s="62" t="str">
        <f>IF(C7&gt;400000,"Nicht zulässig da Einnahmen &gt; 400.000 Euro","")</f>
        <v/>
      </c>
      <c r="D22" s="62" t="str">
        <f>IF(D7&gt;220000,"Nicht zulässig da Einnahmen &gt; 220.000 Euro","")</f>
        <v/>
      </c>
    </row>
    <row r="24" spans="2:5" x14ac:dyDescent="0.25">
      <c r="B24" s="22" t="s">
        <v>59</v>
      </c>
    </row>
    <row r="25" spans="2:5" x14ac:dyDescent="0.25">
      <c r="B25" s="22" t="s">
        <v>61</v>
      </c>
    </row>
    <row r="27" spans="2:5" x14ac:dyDescent="0.25">
      <c r="B27" s="22" t="s">
        <v>60</v>
      </c>
    </row>
    <row r="28" spans="2:5" x14ac:dyDescent="0.25">
      <c r="B28" s="22" t="s">
        <v>69</v>
      </c>
    </row>
    <row r="30" spans="2:5" x14ac:dyDescent="0.25">
      <c r="B30" s="22" t="s">
        <v>56</v>
      </c>
    </row>
    <row r="31" spans="2:5" x14ac:dyDescent="0.25">
      <c r="B31" s="22" t="s">
        <v>57</v>
      </c>
    </row>
    <row r="33" spans="2:2" x14ac:dyDescent="0.25">
      <c r="B33" s="22" t="s">
        <v>52</v>
      </c>
    </row>
    <row r="34" spans="2:2" x14ac:dyDescent="0.25">
      <c r="B34" s="22" t="s">
        <v>65</v>
      </c>
    </row>
    <row r="35" spans="2:2" x14ac:dyDescent="0.25">
      <c r="B35" s="23" t="s">
        <v>66</v>
      </c>
    </row>
    <row r="36" spans="2:2" x14ac:dyDescent="0.25">
      <c r="B36" s="22" t="s">
        <v>53</v>
      </c>
    </row>
    <row r="37" spans="2:2" x14ac:dyDescent="0.25">
      <c r="B37" s="22" t="s">
        <v>76</v>
      </c>
    </row>
  </sheetData>
  <sheetProtection algorithmName="SHA-512" hashValue="PMZO20H4iSPZDhLGQ13gxgTG9JKgnFxKs8dgF3uDnUKtyWI8WrjLgVt+953rovZGvyPCOScpLjGazPy65PABWQ==" saltValue="WsWV1lsLLMccdQpFFR7oww==" spinCount="100000" sheet="1" objects="1" scenarios="1" selectLockedCells="1" selectUnlockedCells="1"/>
  <conditionalFormatting sqref="C21:E21">
    <cfRule type="expression" dxfId="3" priority="8">
      <formula>$C$21&lt;0</formula>
    </cfRule>
  </conditionalFormatting>
  <conditionalFormatting sqref="C21">
    <cfRule type="cellIs" dxfId="2" priority="3" operator="lessThan">
      <formula>0</formula>
    </cfRule>
  </conditionalFormatting>
  <conditionalFormatting sqref="D21">
    <cfRule type="cellIs" dxfId="1" priority="2" operator="lessThan">
      <formula>0</formula>
    </cfRule>
  </conditionalFormatting>
  <conditionalFormatting sqref="E21">
    <cfRule type="cellIs" dxfId="0" priority="1" operator="lessThan">
      <formula>0</formula>
    </cfRule>
  </conditionalFormatting>
  <hyperlinks>
    <hyperlink ref="B35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Eingabeblatt</vt:lpstr>
      <vt:lpstr>Gastgewerbepauschale</vt:lpstr>
      <vt:lpstr>Betriebsausgabenpauschale</vt:lpstr>
      <vt:lpstr>E-A-R</vt:lpstr>
      <vt:lpstr>Vergleich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2023-06-27T10:46:56Z</dcterms:modified>
</cp:coreProperties>
</file>